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dsherred-my.sharepoint.com/personal/kasha_odsherred_dk/Documents/Løngennemsigtighed/"/>
    </mc:Choice>
  </mc:AlternateContent>
  <xr:revisionPtr revIDLastSave="5" documentId="8_{3576F475-F5B7-4959-8223-06F2457AF72C}" xr6:coauthVersionLast="47" xr6:coauthVersionMax="47" xr10:uidLastSave="{C5CB7B65-4741-44E2-8480-DE56D39464E3}"/>
  <bookViews>
    <workbookView xWindow="-120" yWindow="-120" windowWidth="25440" windowHeight="15270" firstSheet="1" activeTab="1" xr2:uid="{06BF97F7-5BDA-47D2-97D4-83C72BA3A0F1}"/>
  </bookViews>
  <sheets>
    <sheet name="Lønoversigt pr. måned" sheetId="1" state="hidden" r:id="rId1"/>
    <sheet name="Lønoversigt pr. måned nutidskr." sheetId="6" r:id="rId2"/>
    <sheet name="Løntri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8" i="6" l="1"/>
  <c r="E37" i="6"/>
  <c r="E36" i="6"/>
  <c r="E35" i="6"/>
  <c r="E34" i="6"/>
  <c r="E33" i="6"/>
  <c r="E32" i="6"/>
  <c r="E31" i="6"/>
  <c r="E30" i="6"/>
  <c r="E29" i="6"/>
  <c r="E28" i="6"/>
  <c r="E27" i="6"/>
  <c r="F57" i="6"/>
  <c r="F55" i="6"/>
  <c r="F56" i="6"/>
  <c r="C57" i="6"/>
  <c r="C56" i="6"/>
  <c r="D15" i="6"/>
  <c r="D14" i="6"/>
  <c r="D13" i="6"/>
  <c r="D12" i="6"/>
  <c r="G35" i="6"/>
  <c r="F35" i="6"/>
  <c r="D35" i="6"/>
  <c r="C35" i="6"/>
  <c r="H35" i="6" s="1"/>
  <c r="G38" i="6"/>
  <c r="F38" i="6"/>
  <c r="D38" i="6"/>
  <c r="C38" i="6"/>
  <c r="H38" i="6" s="1"/>
  <c r="G37" i="6"/>
  <c r="F37" i="6"/>
  <c r="C37" i="6"/>
  <c r="H37" i="6" s="1"/>
  <c r="G36" i="6"/>
  <c r="F36" i="6"/>
  <c r="D36" i="6"/>
  <c r="C36" i="6"/>
  <c r="H36" i="6" s="1"/>
  <c r="C81" i="6"/>
  <c r="H81" i="6" s="1"/>
  <c r="E108" i="6"/>
  <c r="E116" i="6"/>
  <c r="E119" i="6"/>
  <c r="E118" i="6"/>
  <c r="E117" i="6"/>
  <c r="C117" i="6"/>
  <c r="H117" i="6" s="1"/>
  <c r="C119" i="6"/>
  <c r="H119" i="6" s="1"/>
  <c r="C116" i="6"/>
  <c r="H116" i="6" s="1"/>
  <c r="C118" i="6"/>
  <c r="H118" i="6" s="1"/>
  <c r="D98" i="6"/>
  <c r="C98" i="6"/>
  <c r="C100" i="6"/>
  <c r="H100" i="6" s="1"/>
  <c r="D107" i="6"/>
  <c r="E109" i="6"/>
  <c r="C112" i="6"/>
  <c r="C111" i="6"/>
  <c r="E112" i="6"/>
  <c r="E111" i="6"/>
  <c r="C110" i="6"/>
  <c r="C108" i="6"/>
  <c r="H108" i="6" s="1"/>
  <c r="E110" i="6"/>
  <c r="D67" i="6"/>
  <c r="C67" i="6"/>
  <c r="C99" i="6"/>
  <c r="C97" i="6"/>
  <c r="H97" i="6" s="1"/>
  <c r="D99" i="6"/>
  <c r="D92" i="6"/>
  <c r="D94" i="6"/>
  <c r="D93" i="6"/>
  <c r="D88" i="6"/>
  <c r="D87" i="6"/>
  <c r="D86" i="6"/>
  <c r="D75" i="6"/>
  <c r="D74" i="6"/>
  <c r="D73" i="6"/>
  <c r="D72" i="6"/>
  <c r="D71" i="6"/>
  <c r="C77" i="6"/>
  <c r="D77" i="6"/>
  <c r="C71" i="6"/>
  <c r="C72" i="6"/>
  <c r="C73" i="6"/>
  <c r="C74" i="6"/>
  <c r="C75" i="6"/>
  <c r="C76" i="6"/>
  <c r="C78" i="6"/>
  <c r="C79" i="6"/>
  <c r="C80" i="6"/>
  <c r="E20" i="6"/>
  <c r="E21" i="6"/>
  <c r="E22" i="6"/>
  <c r="E19" i="6"/>
  <c r="E13" i="6"/>
  <c r="E14" i="6"/>
  <c r="E15" i="6"/>
  <c r="E12" i="6"/>
  <c r="E7" i="6"/>
  <c r="E8" i="6"/>
  <c r="E6" i="6"/>
  <c r="G32" i="6"/>
  <c r="G33" i="6"/>
  <c r="G34" i="6"/>
  <c r="F32" i="6"/>
  <c r="F33" i="6"/>
  <c r="F34" i="6"/>
  <c r="D34" i="6"/>
  <c r="D33" i="6"/>
  <c r="D32" i="6"/>
  <c r="G31" i="6"/>
  <c r="F31" i="6"/>
  <c r="D31" i="6"/>
  <c r="C31" i="6"/>
  <c r="C32" i="6"/>
  <c r="C33" i="6"/>
  <c r="C93" i="6"/>
  <c r="C94" i="6"/>
  <c r="C92" i="6"/>
  <c r="C88" i="6"/>
  <c r="C87" i="6"/>
  <c r="C86" i="6"/>
  <c r="D76" i="6"/>
  <c r="D78" i="6"/>
  <c r="D79" i="6"/>
  <c r="D80" i="6"/>
  <c r="C65" i="6"/>
  <c r="C63" i="6"/>
  <c r="D63" i="6"/>
  <c r="D62" i="6"/>
  <c r="C109" i="6"/>
  <c r="C107" i="6"/>
  <c r="F53" i="6"/>
  <c r="F54" i="6"/>
  <c r="F58" i="6"/>
  <c r="F52" i="6"/>
  <c r="C52" i="6"/>
  <c r="C53" i="6"/>
  <c r="C54" i="6"/>
  <c r="C55" i="6"/>
  <c r="C58" i="6"/>
  <c r="C45" i="6"/>
  <c r="H45" i="6" s="1"/>
  <c r="C46" i="6"/>
  <c r="C47" i="6"/>
  <c r="C48" i="6"/>
  <c r="C49" i="6"/>
  <c r="C44" i="6"/>
  <c r="G28" i="6"/>
  <c r="G29" i="6"/>
  <c r="G30" i="6"/>
  <c r="G27" i="6"/>
  <c r="F28" i="6"/>
  <c r="F29" i="6"/>
  <c r="F30" i="6"/>
  <c r="F27" i="6"/>
  <c r="D30" i="6"/>
  <c r="D28" i="6"/>
  <c r="D27" i="6"/>
  <c r="D19" i="6"/>
  <c r="D20" i="6"/>
  <c r="D21" i="6"/>
  <c r="D22" i="6"/>
  <c r="D6" i="6"/>
  <c r="D7" i="6"/>
  <c r="D8" i="6"/>
  <c r="K32" i="3"/>
  <c r="K30" i="3"/>
  <c r="H111" i="6" l="1"/>
  <c r="H110" i="6"/>
  <c r="H112" i="6"/>
  <c r="H98" i="6"/>
  <c r="H99" i="6"/>
  <c r="H31" i="6"/>
  <c r="H77" i="6"/>
  <c r="H67" i="6"/>
  <c r="H80" i="6"/>
  <c r="H79" i="6"/>
  <c r="H78" i="6"/>
  <c r="H94" i="6"/>
  <c r="H32" i="6"/>
  <c r="H33" i="6"/>
  <c r="H93" i="6"/>
  <c r="H92" i="6"/>
  <c r="H86" i="6"/>
  <c r="H87" i="6"/>
  <c r="H88" i="6"/>
  <c r="H47" i="6"/>
  <c r="H71" i="6"/>
  <c r="H72" i="6"/>
  <c r="H63" i="6"/>
  <c r="H46" i="6"/>
  <c r="H65" i="6"/>
  <c r="H48" i="6"/>
  <c r="H56" i="6"/>
  <c r="H109" i="6"/>
  <c r="H107" i="6"/>
  <c r="H55" i="6"/>
  <c r="H49" i="6"/>
  <c r="H54" i="6"/>
  <c r="H44" i="6"/>
  <c r="H53" i="6"/>
  <c r="H58" i="6"/>
  <c r="H52" i="6"/>
  <c r="M30" i="3"/>
  <c r="P30" i="3"/>
  <c r="M32" i="3"/>
  <c r="P32" i="3"/>
  <c r="E48" i="1"/>
  <c r="M4" i="3"/>
  <c r="M5" i="3"/>
  <c r="M6" i="3"/>
  <c r="M7" i="3"/>
  <c r="M8" i="3"/>
  <c r="M9" i="3"/>
  <c r="M10" i="3"/>
  <c r="M11" i="3"/>
  <c r="M12" i="3"/>
  <c r="D68" i="1"/>
  <c r="D65" i="1"/>
  <c r="C69" i="1"/>
  <c r="H69" i="1" s="1"/>
  <c r="C68" i="1"/>
  <c r="C65" i="1"/>
  <c r="F65" i="1"/>
  <c r="D58" i="1"/>
  <c r="D57" i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C34" i="6" s="1"/>
  <c r="H34" i="6" s="1"/>
  <c r="E32" i="3"/>
  <c r="E33" i="3"/>
  <c r="E34" i="3"/>
  <c r="E35" i="3"/>
  <c r="E36" i="3"/>
  <c r="E37" i="3"/>
  <c r="C53" i="1" s="1"/>
  <c r="H53" i="1" s="1"/>
  <c r="E38" i="3"/>
  <c r="E39" i="3"/>
  <c r="E40" i="3"/>
  <c r="C54" i="1" s="1"/>
  <c r="H54" i="1" s="1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4" i="3"/>
  <c r="H73" i="6" l="1"/>
  <c r="C24" i="1"/>
  <c r="C27" i="6"/>
  <c r="H27" i="6" s="1"/>
  <c r="C7" i="1"/>
  <c r="C7" i="6"/>
  <c r="H7" i="6" s="1"/>
  <c r="C48" i="1"/>
  <c r="C62" i="6"/>
  <c r="H62" i="6" s="1"/>
  <c r="C13" i="1"/>
  <c r="C14" i="6"/>
  <c r="H14" i="6" s="1"/>
  <c r="C12" i="1"/>
  <c r="C13" i="6"/>
  <c r="H13" i="6" s="1"/>
  <c r="C11" i="1"/>
  <c r="C12" i="6"/>
  <c r="H12" i="6" s="1"/>
  <c r="C58" i="1"/>
  <c r="C26" i="1"/>
  <c r="C29" i="6"/>
  <c r="H29" i="6" s="1"/>
  <c r="C30" i="6"/>
  <c r="H30" i="6" s="1"/>
  <c r="C6" i="1"/>
  <c r="C6" i="6"/>
  <c r="H6" i="6" s="1"/>
  <c r="C22" i="6"/>
  <c r="H22" i="6" s="1"/>
  <c r="C19" i="1"/>
  <c r="C21" i="6"/>
  <c r="H21" i="6" s="1"/>
  <c r="C8" i="1"/>
  <c r="C28" i="6"/>
  <c r="H28" i="6" s="1"/>
  <c r="C8" i="6"/>
  <c r="H8" i="6" s="1"/>
  <c r="C49" i="1"/>
  <c r="C64" i="6"/>
  <c r="H64" i="6" s="1"/>
  <c r="C18" i="1"/>
  <c r="C20" i="6"/>
  <c r="H20" i="6" s="1"/>
  <c r="C57" i="1"/>
  <c r="C50" i="1"/>
  <c r="H50" i="1" s="1"/>
  <c r="C66" i="6"/>
  <c r="H66" i="6" s="1"/>
  <c r="C14" i="1"/>
  <c r="C15" i="6"/>
  <c r="H15" i="6" s="1"/>
  <c r="C19" i="6"/>
  <c r="H19" i="6" s="1"/>
  <c r="H57" i="1"/>
  <c r="C20" i="1"/>
  <c r="C25" i="1"/>
  <c r="H58" i="1"/>
  <c r="H49" i="1"/>
  <c r="H65" i="1"/>
  <c r="H68" i="1"/>
  <c r="C27" i="1"/>
  <c r="C17" i="1"/>
  <c r="H74" i="6" l="1"/>
  <c r="D27" i="1"/>
  <c r="H48" i="1"/>
  <c r="F40" i="1"/>
  <c r="F41" i="1"/>
  <c r="F42" i="1"/>
  <c r="F43" i="1"/>
  <c r="F44" i="1"/>
  <c r="F45" i="1"/>
  <c r="C40" i="1"/>
  <c r="C41" i="1"/>
  <c r="C42" i="1"/>
  <c r="C43" i="1"/>
  <c r="C44" i="1"/>
  <c r="C45" i="1"/>
  <c r="F35" i="1"/>
  <c r="F36" i="1"/>
  <c r="F37" i="1"/>
  <c r="F33" i="1"/>
  <c r="F34" i="1"/>
  <c r="F32" i="1"/>
  <c r="H76" i="6" l="1"/>
  <c r="H75" i="6"/>
  <c r="H40" i="1"/>
  <c r="H42" i="1"/>
  <c r="H43" i="1"/>
  <c r="H41" i="1"/>
  <c r="H44" i="1"/>
  <c r="H45" i="1"/>
  <c r="C33" i="1"/>
  <c r="H33" i="1" s="1"/>
  <c r="C34" i="1"/>
  <c r="H34" i="1" s="1"/>
  <c r="C35" i="1"/>
  <c r="H35" i="1" s="1"/>
  <c r="C36" i="1"/>
  <c r="H36" i="1" s="1"/>
  <c r="C37" i="1"/>
  <c r="H37" i="1" s="1"/>
  <c r="C32" i="1"/>
  <c r="H32" i="1" s="1"/>
  <c r="D25" i="1"/>
  <c r="E24" i="1"/>
  <c r="F24" i="1"/>
  <c r="G24" i="1"/>
  <c r="D24" i="1"/>
  <c r="G25" i="1"/>
  <c r="G26" i="1"/>
  <c r="G27" i="1"/>
  <c r="F25" i="1"/>
  <c r="F26" i="1"/>
  <c r="F27" i="1"/>
  <c r="E25" i="1"/>
  <c r="E26" i="1"/>
  <c r="E27" i="1"/>
  <c r="D19" i="1"/>
  <c r="H19" i="1" s="1"/>
  <c r="D20" i="1"/>
  <c r="H20" i="1" s="1"/>
  <c r="D18" i="1"/>
  <c r="H18" i="1" s="1"/>
  <c r="D17" i="1"/>
  <c r="H17" i="1" s="1"/>
  <c r="D12" i="1"/>
  <c r="H12" i="1" s="1"/>
  <c r="D13" i="1"/>
  <c r="H13" i="1" s="1"/>
  <c r="D14" i="1"/>
  <c r="H14" i="1" s="1"/>
  <c r="D11" i="1"/>
  <c r="H11" i="1" s="1"/>
  <c r="D8" i="1"/>
  <c r="H8" i="1" s="1"/>
  <c r="D7" i="1"/>
  <c r="H7" i="1" s="1"/>
  <c r="D6" i="1"/>
  <c r="H6" i="1" s="1"/>
  <c r="H27" i="1" l="1"/>
  <c r="H24" i="1"/>
  <c r="H26" i="1"/>
  <c r="H25" i="1"/>
</calcChain>
</file>

<file path=xl/sharedStrings.xml><?xml version="1.0" encoding="utf-8"?>
<sst xmlns="http://schemas.openxmlformats.org/spreadsheetml/2006/main" count="356" uniqueCount="152">
  <si>
    <r>
      <t xml:space="preserve">Grundløn </t>
    </r>
    <r>
      <rPr>
        <b/>
        <u/>
        <sz val="18"/>
        <color theme="1"/>
        <rFont val="Aptos Narrow"/>
        <family val="2"/>
        <scheme val="minor"/>
      </rPr>
      <t>pr. måned</t>
    </r>
    <r>
      <rPr>
        <b/>
        <sz val="18"/>
        <color theme="1"/>
        <rFont val="Aptos Narrow"/>
        <family val="2"/>
        <scheme val="minor"/>
      </rPr>
      <t xml:space="preserve"> for større medarbejdergrupper - Fuldtid (37 timer)</t>
    </r>
  </si>
  <si>
    <t>Reguleringsprocent 2000-niveau</t>
  </si>
  <si>
    <t>April 2026</t>
  </si>
  <si>
    <t>Senest opdateret:</t>
  </si>
  <si>
    <t>Juni 2026</t>
  </si>
  <si>
    <t>Reguleringsprocent 2006-niveau</t>
  </si>
  <si>
    <r>
      <t xml:space="preserve">Overenskomst
</t>
    </r>
    <r>
      <rPr>
        <sz val="12"/>
        <color theme="1"/>
        <rFont val="Aptos Narrow"/>
        <family val="2"/>
        <scheme val="minor"/>
      </rPr>
      <t>+ Annicennitet</t>
    </r>
  </si>
  <si>
    <t>Løntrin</t>
  </si>
  <si>
    <r>
      <t xml:space="preserve">Grundløn
</t>
    </r>
    <r>
      <rPr>
        <sz val="11"/>
        <color theme="1"/>
        <rFont val="Aptos Narrow"/>
        <family val="2"/>
        <scheme val="minor"/>
      </rPr>
      <t>31/03-2000-niveau</t>
    </r>
  </si>
  <si>
    <r>
      <t xml:space="preserve">Grundlønstillæg
</t>
    </r>
    <r>
      <rPr>
        <sz val="11"/>
        <color theme="1"/>
        <rFont val="Aptos Narrow"/>
        <family val="2"/>
        <scheme val="minor"/>
      </rPr>
      <t>31/03-2000-niveau</t>
    </r>
  </si>
  <si>
    <r>
      <t xml:space="preserve">Lokalt aftalt tillæg
</t>
    </r>
    <r>
      <rPr>
        <sz val="11"/>
        <color theme="1"/>
        <rFont val="Aptos Narrow"/>
        <family val="2"/>
        <scheme val="minor"/>
      </rPr>
      <t>31/03-2000-niveau</t>
    </r>
  </si>
  <si>
    <r>
      <t xml:space="preserve">Øvrige centrale tillæg
</t>
    </r>
    <r>
      <rPr>
        <sz val="11"/>
        <color theme="1"/>
        <rFont val="Aptos Narrow"/>
        <family val="2"/>
        <scheme val="minor"/>
      </rPr>
      <t>31/03-2000-niveau</t>
    </r>
  </si>
  <si>
    <r>
      <t xml:space="preserve">Samlet minimumsløn
</t>
    </r>
    <r>
      <rPr>
        <b/>
        <u/>
        <sz val="12"/>
        <color theme="5"/>
        <rFont val="Aptos Narrow"/>
        <family val="2"/>
        <scheme val="minor"/>
      </rPr>
      <t>Aktuelt niveau</t>
    </r>
  </si>
  <si>
    <t>60.01 Pædagoger</t>
  </si>
  <si>
    <r>
      <t xml:space="preserve">Grundløn
</t>
    </r>
    <r>
      <rPr>
        <sz val="12"/>
        <color theme="1"/>
        <rFont val="Aptos Narrow"/>
        <family val="2"/>
        <scheme val="minor"/>
      </rPr>
      <t>31/03-2000-niveau</t>
    </r>
  </si>
  <si>
    <r>
      <t xml:space="preserve">Grundlønstillæg
</t>
    </r>
    <r>
      <rPr>
        <sz val="12"/>
        <color theme="1"/>
        <rFont val="Aptos Narrow"/>
        <family val="2"/>
        <scheme val="minor"/>
      </rPr>
      <t>31/03-2000-niveau</t>
    </r>
  </si>
  <si>
    <r>
      <t xml:space="preserve">Lokalt aftalt tillæg
</t>
    </r>
    <r>
      <rPr>
        <sz val="12"/>
        <color theme="1"/>
        <rFont val="Aptos Narrow"/>
        <family val="2"/>
        <scheme val="minor"/>
      </rPr>
      <t>31/03-2000-niveau</t>
    </r>
  </si>
  <si>
    <r>
      <t xml:space="preserve">Øvrige centrale tillæg
</t>
    </r>
    <r>
      <rPr>
        <sz val="12"/>
        <color theme="1"/>
        <rFont val="Aptos Narrow"/>
        <family val="2"/>
        <scheme val="minor"/>
      </rPr>
      <t>31/03-2000-niveau</t>
    </r>
  </si>
  <si>
    <r>
      <t xml:space="preserve">Øvrige tillæg
</t>
    </r>
    <r>
      <rPr>
        <sz val="12"/>
        <color theme="1"/>
        <rFont val="Aptos Narrow"/>
        <family val="2"/>
        <scheme val="minor"/>
      </rPr>
      <t>31/03-2000-niveau</t>
    </r>
  </si>
  <si>
    <r>
      <t xml:space="preserve">Samlet minimumsløn
</t>
    </r>
    <r>
      <rPr>
        <b/>
        <u/>
        <sz val="12"/>
        <color theme="3" tint="0.89999084444715716"/>
        <rFont val="Aptos Narrow"/>
        <family val="2"/>
        <scheme val="minor"/>
      </rPr>
      <t>Aktuelt niveau</t>
    </r>
  </si>
  <si>
    <t>Grundløn</t>
  </si>
  <si>
    <t>Efter 6 år</t>
  </si>
  <si>
    <t>Efter 10 år</t>
  </si>
  <si>
    <t>61.01 Pædagogmedhjælpere</t>
  </si>
  <si>
    <t>Efter 3 år</t>
  </si>
  <si>
    <t>Efter 7 år</t>
  </si>
  <si>
    <t>Efter 11 år</t>
  </si>
  <si>
    <t>61.01 Pædagogiske assistenter</t>
  </si>
  <si>
    <t xml:space="preserve">Efter 3 år </t>
  </si>
  <si>
    <t xml:space="preserve">Efter 6 år </t>
  </si>
  <si>
    <t>Efter 8 år</t>
  </si>
  <si>
    <t>50.01 Lærere</t>
  </si>
  <si>
    <t>Hørsholm tillæg</t>
  </si>
  <si>
    <t>Almentillæg</t>
  </si>
  <si>
    <t>Undervisningstillæg</t>
  </si>
  <si>
    <t>Efter 4 år</t>
  </si>
  <si>
    <t>Efter 12 år</t>
  </si>
  <si>
    <t xml:space="preserve">31.01 Akademikere </t>
  </si>
  <si>
    <t>Bacheloruddannede</t>
  </si>
  <si>
    <t>Antal års annciennitet</t>
  </si>
  <si>
    <t>Rådighedstillæg</t>
  </si>
  <si>
    <t>Kandidatuddannede</t>
  </si>
  <si>
    <t>30.11 Administration og IT assistenter</t>
  </si>
  <si>
    <t>Kontorassistenter</t>
  </si>
  <si>
    <t>Assistenter</t>
  </si>
  <si>
    <t>Specialister</t>
  </si>
  <si>
    <t>30.31 Socialrådgivere</t>
  </si>
  <si>
    <t>Ansat på Åstedet</t>
  </si>
  <si>
    <t>Ansat på Rådhuset</t>
  </si>
  <si>
    <t>Social- og sundhedsområdet</t>
  </si>
  <si>
    <t>73.01 Sosu-hjælper</t>
  </si>
  <si>
    <t>73.01 Sosu-assistent</t>
  </si>
  <si>
    <t>Sundhedskartellet</t>
  </si>
  <si>
    <t>70.01 Sygeplejersker</t>
  </si>
  <si>
    <r>
      <t xml:space="preserve">Grundløn
</t>
    </r>
    <r>
      <rPr>
        <sz val="12"/>
        <color theme="1"/>
        <rFont val="Aptos Narrow"/>
        <family val="2"/>
        <scheme val="minor"/>
      </rPr>
      <t>01/01-2006 niveau</t>
    </r>
  </si>
  <si>
    <r>
      <t xml:space="preserve">Grundlønstillæg
</t>
    </r>
    <r>
      <rPr>
        <sz val="12"/>
        <color theme="1"/>
        <rFont val="Aptos Narrow"/>
        <family val="2"/>
        <scheme val="minor"/>
      </rPr>
      <t>01/01-2006 niveau</t>
    </r>
  </si>
  <si>
    <r>
      <t xml:space="preserve">Lokalt aftalt tillæg
</t>
    </r>
    <r>
      <rPr>
        <sz val="12"/>
        <color theme="1"/>
        <rFont val="Aptos Narrow"/>
        <family val="2"/>
        <scheme val="minor"/>
      </rPr>
      <t>01/01-2006 niveau</t>
    </r>
  </si>
  <si>
    <r>
      <t xml:space="preserve">Øvrige centrale tillæg
</t>
    </r>
    <r>
      <rPr>
        <sz val="12"/>
        <color theme="1"/>
        <rFont val="Aptos Narrow"/>
        <family val="2"/>
        <scheme val="minor"/>
      </rPr>
      <t>01/01-2006 niveau</t>
    </r>
  </si>
  <si>
    <r>
      <t xml:space="preserve">Øvrige tillæg
</t>
    </r>
    <r>
      <rPr>
        <sz val="12"/>
        <color theme="1"/>
        <rFont val="Aptos Narrow"/>
        <family val="2"/>
        <scheme val="minor"/>
      </rPr>
      <t>01/01-2006 niveau</t>
    </r>
  </si>
  <si>
    <t>Tillæg nyuddannet</t>
  </si>
  <si>
    <t>Tillæg II nyuddannet</t>
  </si>
  <si>
    <t>Startindplacering</t>
  </si>
  <si>
    <t>Erfaring 4 år</t>
  </si>
  <si>
    <t>Løntrin 9</t>
  </si>
  <si>
    <r>
      <rPr>
        <b/>
        <sz val="18"/>
        <color rgb="FF000000"/>
        <rFont val="Aptos Narrow"/>
      </rPr>
      <t xml:space="preserve">Grundløn </t>
    </r>
    <r>
      <rPr>
        <b/>
        <u/>
        <sz val="18"/>
        <color rgb="FF000000"/>
        <rFont val="Aptos Narrow"/>
      </rPr>
      <t>pr. måned</t>
    </r>
    <r>
      <rPr>
        <b/>
        <sz val="18"/>
        <color rgb="FF000000"/>
        <rFont val="Aptos Narrow"/>
      </rPr>
      <t xml:space="preserve"> for større medarbejdergrupper - </t>
    </r>
    <r>
      <rPr>
        <b/>
        <u/>
        <sz val="18"/>
        <color rgb="FF00B0F0"/>
        <rFont val="Aptos Narrow"/>
      </rPr>
      <t>Fuldtid (37 timer)</t>
    </r>
  </si>
  <si>
    <r>
      <t xml:space="preserve">Grundløn
</t>
    </r>
    <r>
      <rPr>
        <sz val="11"/>
        <color theme="1"/>
        <rFont val="Aptos Narrow"/>
        <family val="2"/>
        <scheme val="minor"/>
      </rPr>
      <t>Aktuelt niveau</t>
    </r>
  </si>
  <si>
    <r>
      <t xml:space="preserve">Grundlønstillæg
</t>
    </r>
    <r>
      <rPr>
        <sz val="11"/>
        <color theme="1"/>
        <rFont val="Aptos Narrow"/>
        <family val="2"/>
        <scheme val="minor"/>
      </rPr>
      <t>Aktuelt niveau</t>
    </r>
  </si>
  <si>
    <r>
      <t xml:space="preserve">Lokalt aftalt tillæg
</t>
    </r>
    <r>
      <rPr>
        <sz val="11"/>
        <color theme="1"/>
        <rFont val="Aptos Narrow"/>
        <family val="2"/>
        <scheme val="minor"/>
      </rPr>
      <t>Aktuelt niveau</t>
    </r>
  </si>
  <si>
    <r>
      <t xml:space="preserve">Øvrige centrale tillæg
</t>
    </r>
    <r>
      <rPr>
        <sz val="11"/>
        <color theme="1"/>
        <rFont val="Aptos Narrow"/>
        <family val="2"/>
        <scheme val="minor"/>
      </rPr>
      <t>Aktuelt niveau</t>
    </r>
  </si>
  <si>
    <t>60.01 Pædagoger- Børnehaver og skoler</t>
  </si>
  <si>
    <r>
      <t xml:space="preserve">Grundløn
</t>
    </r>
    <r>
      <rPr>
        <sz val="12"/>
        <rFont val="Aptos Narrow"/>
        <family val="2"/>
        <scheme val="minor"/>
      </rPr>
      <t>Aktuelt niveau</t>
    </r>
  </si>
  <si>
    <r>
      <t xml:space="preserve">Grundlønstillæg
</t>
    </r>
    <r>
      <rPr>
        <sz val="12"/>
        <rFont val="Aptos Narrow"/>
        <family val="2"/>
        <scheme val="minor"/>
      </rPr>
      <t>Aktuelt niveau</t>
    </r>
  </si>
  <si>
    <r>
      <t xml:space="preserve">Lokalt aftalt tillæg
</t>
    </r>
    <r>
      <rPr>
        <sz val="12"/>
        <rFont val="Aptos Narrow"/>
        <family val="2"/>
        <scheme val="minor"/>
      </rPr>
      <t>Aktuelt niveau</t>
    </r>
  </si>
  <si>
    <r>
      <t xml:space="preserve">Øvrige centrale tillæg
</t>
    </r>
    <r>
      <rPr>
        <sz val="12"/>
        <rFont val="Aptos Narrow"/>
        <family val="2"/>
        <scheme val="minor"/>
      </rPr>
      <t>Aktuelt niveau</t>
    </r>
  </si>
  <si>
    <r>
      <t xml:space="preserve">Øvrige tillæg
</t>
    </r>
    <r>
      <rPr>
        <sz val="12"/>
        <rFont val="Aptos Narrow"/>
        <family val="2"/>
        <scheme val="minor"/>
      </rPr>
      <t>Aktuelt niveau</t>
    </r>
  </si>
  <si>
    <r>
      <t xml:space="preserve">Samlet minimumsløn
</t>
    </r>
    <r>
      <rPr>
        <b/>
        <u/>
        <sz val="12"/>
        <rFont val="Aptos Narrow"/>
        <family val="2"/>
        <scheme val="minor"/>
      </rPr>
      <t>Aktuelt niveau</t>
    </r>
  </si>
  <si>
    <t>Pensions %</t>
  </si>
  <si>
    <t>61.01 Pædagogmedhjælpere - Børnehaver og skoler</t>
  </si>
  <si>
    <r>
      <t xml:space="preserve">Grundløn
</t>
    </r>
    <r>
      <rPr>
        <sz val="12"/>
        <color theme="0"/>
        <rFont val="Aptos Narrow"/>
        <family val="2"/>
        <scheme val="minor"/>
      </rPr>
      <t>Aktuelt niveau</t>
    </r>
  </si>
  <si>
    <r>
      <t xml:space="preserve">Grundlønstillæg
</t>
    </r>
    <r>
      <rPr>
        <sz val="12"/>
        <color theme="0"/>
        <rFont val="Aptos Narrow"/>
        <family val="2"/>
        <scheme val="minor"/>
      </rPr>
      <t>Aktuelt niveau</t>
    </r>
  </si>
  <si>
    <r>
      <t xml:space="preserve">Lokalt aftalt tillæg
</t>
    </r>
    <r>
      <rPr>
        <sz val="12"/>
        <color theme="0"/>
        <rFont val="Aptos Narrow"/>
        <family val="2"/>
        <scheme val="minor"/>
      </rPr>
      <t>Aktuelt niveau</t>
    </r>
  </si>
  <si>
    <r>
      <t xml:space="preserve">Øvrige centrale tillæg
</t>
    </r>
    <r>
      <rPr>
        <sz val="12"/>
        <color theme="0"/>
        <rFont val="Aptos Narrow"/>
        <family val="2"/>
        <scheme val="minor"/>
      </rPr>
      <t>Aktuelt niveau</t>
    </r>
  </si>
  <si>
    <r>
      <t xml:space="preserve">Øvrige tillæg
</t>
    </r>
    <r>
      <rPr>
        <sz val="12"/>
        <color theme="0"/>
        <rFont val="Aptos Narrow"/>
        <family val="2"/>
        <scheme val="minor"/>
      </rPr>
      <t>Aktuelt niveau</t>
    </r>
  </si>
  <si>
    <t>61.01 Pædagogiske assistenter - Børnehaver og skoler</t>
  </si>
  <si>
    <r>
      <t xml:space="preserve">Grundløn
</t>
    </r>
    <r>
      <rPr>
        <sz val="12"/>
        <color rgb="FF000000"/>
        <rFont val="Aptos Narrow"/>
        <family val="2"/>
        <scheme val="minor"/>
      </rPr>
      <t>Aktuelt niveau</t>
    </r>
  </si>
  <si>
    <r>
      <t xml:space="preserve">Grundlønstillæg
</t>
    </r>
    <r>
      <rPr>
        <sz val="12"/>
        <color rgb="FF000000"/>
        <rFont val="Aptos Narrow"/>
        <family val="2"/>
        <scheme val="minor"/>
      </rPr>
      <t>Aktuelt niveau</t>
    </r>
  </si>
  <si>
    <r>
      <t xml:space="preserve">Lokalt aftalt tillæg
</t>
    </r>
    <r>
      <rPr>
        <sz val="12"/>
        <color rgb="FF000000"/>
        <rFont val="Aptos Narrow"/>
        <family val="2"/>
        <scheme val="minor"/>
      </rPr>
      <t>Aktuelt niveau</t>
    </r>
  </si>
  <si>
    <r>
      <t xml:space="preserve">Øvrige centrale tillæg
</t>
    </r>
    <r>
      <rPr>
        <sz val="12"/>
        <color rgb="FF000000"/>
        <rFont val="Aptos Narrow"/>
        <family val="2"/>
        <scheme val="minor"/>
      </rPr>
      <t>Aktuelt niveau</t>
    </r>
  </si>
  <si>
    <r>
      <t xml:space="preserve">Øvrige tillæg
</t>
    </r>
    <r>
      <rPr>
        <sz val="12"/>
        <color rgb="FF000000"/>
        <rFont val="Aptos Narrow"/>
        <family val="2"/>
        <scheme val="minor"/>
      </rPr>
      <t>Aktuelt niveau</t>
    </r>
  </si>
  <si>
    <r>
      <t xml:space="preserve">Samlet minimumsløn
</t>
    </r>
    <r>
      <rPr>
        <b/>
        <u/>
        <sz val="12"/>
        <color rgb="FF000000"/>
        <rFont val="Aptos Narrow"/>
        <family val="2"/>
        <scheme val="minor"/>
      </rPr>
      <t>Aktuelt niveau</t>
    </r>
  </si>
  <si>
    <t>50.01 Lærere - Folkeskolen</t>
  </si>
  <si>
    <t>Børnehaveklasseledere - grundløn</t>
  </si>
  <si>
    <t xml:space="preserve">Lærere m. særlige kvalifikationer - grundløn </t>
  </si>
  <si>
    <t>31.01 Akademikere (I generaliststilling)</t>
  </si>
  <si>
    <t>Rådighedstillæg (ved generaliststilling)</t>
  </si>
  <si>
    <t>Kontorassistenter - Grundløn</t>
  </si>
  <si>
    <t xml:space="preserve">Erfaring 7 år </t>
  </si>
  <si>
    <t xml:space="preserve">Assistenter- Grundløn </t>
  </si>
  <si>
    <r>
      <t xml:space="preserve">Specialister- </t>
    </r>
    <r>
      <rPr>
        <b/>
        <sz val="11"/>
        <color theme="1"/>
        <rFont val="Aptos Narrow"/>
        <family val="2"/>
        <scheme val="minor"/>
      </rPr>
      <t>Uden højeste tjenstetid</t>
    </r>
  </si>
  <si>
    <t>73.01 Social- og sundhedsområdet</t>
  </si>
  <si>
    <t>73.01 Sosu-hjælper Grundløn</t>
  </si>
  <si>
    <t xml:space="preserve">Erfaring 2 år </t>
  </si>
  <si>
    <t>x</t>
  </si>
  <si>
    <t xml:space="preserve">Erfaring 4 år </t>
  </si>
  <si>
    <t xml:space="preserve">Erfaring 11 år </t>
  </si>
  <si>
    <t>73.01 Sosu-assistent - Grundløn</t>
  </si>
  <si>
    <t xml:space="preserve">Erfaring 10 år </t>
  </si>
  <si>
    <t xml:space="preserve">Ikke uddannet medarbejder </t>
  </si>
  <si>
    <t>41.21 Rengøring</t>
  </si>
  <si>
    <r>
      <t xml:space="preserve">Samlet minimumsløn
</t>
    </r>
    <r>
      <rPr>
        <u/>
        <sz val="12"/>
        <color theme="0"/>
        <rFont val="Aptos Narrow"/>
        <family val="2"/>
        <scheme val="minor"/>
      </rPr>
      <t>Aktuelt niveau</t>
    </r>
  </si>
  <si>
    <t>Startløn</t>
  </si>
  <si>
    <t>Erfaring 5 år</t>
  </si>
  <si>
    <t>40.01 Specialarbejdere - Teknik og miljø</t>
  </si>
  <si>
    <t xml:space="preserve">Løntrin </t>
  </si>
  <si>
    <t>Grundløn
Aktuelt niveau</t>
  </si>
  <si>
    <t>Grundlønstillæg
Aktuelt niveau</t>
  </si>
  <si>
    <t>Lokalt aftalt tillæg
Aktuelt niveau</t>
  </si>
  <si>
    <t>Øvrige centrale tillæg
Aktuelt niveau</t>
  </si>
  <si>
    <t>Øvrige tillæg
Aktuelt niveau</t>
  </si>
  <si>
    <t>Samlet minimumsløn
Aktuelt niveau</t>
  </si>
  <si>
    <t xml:space="preserve">Startløn </t>
  </si>
  <si>
    <t xml:space="preserve">Erfaring 1 år </t>
  </si>
  <si>
    <t>30.31 Socialrådgivere og socialformidlere</t>
  </si>
  <si>
    <t>Lokalt aftalt tillæg</t>
  </si>
  <si>
    <r>
      <t xml:space="preserve">Samlet minimumsløn
</t>
    </r>
    <r>
      <rPr>
        <u val="singleAccounting"/>
        <sz val="11"/>
        <color theme="1"/>
        <rFont val="Aptos Narrow"/>
        <family val="2"/>
        <scheme val="minor"/>
      </rPr>
      <t>Aktuelt niveau</t>
    </r>
  </si>
  <si>
    <t xml:space="preserve">Socialrådgiver </t>
  </si>
  <si>
    <r>
      <t xml:space="preserve">Socialrådgiver - </t>
    </r>
    <r>
      <rPr>
        <b/>
        <sz val="11"/>
        <color theme="1"/>
        <rFont val="Aptos Narrow"/>
        <family val="2"/>
        <scheme val="minor"/>
      </rPr>
      <t>Uden højeste tjenestetid</t>
    </r>
  </si>
  <si>
    <t>Socialformidler</t>
  </si>
  <si>
    <r>
      <t xml:space="preserve">Socialformidler - </t>
    </r>
    <r>
      <rPr>
        <b/>
        <sz val="11"/>
        <color theme="1"/>
        <rFont val="Aptos Narrow"/>
        <family val="2"/>
        <scheme val="minor"/>
      </rPr>
      <t xml:space="preserve">Uden højeste tjenstetid </t>
    </r>
  </si>
  <si>
    <t>Erfaring 2 år</t>
  </si>
  <si>
    <t xml:space="preserve">Erfaring 8 år </t>
  </si>
  <si>
    <t>Erfaring 10 år</t>
  </si>
  <si>
    <t>70.01 Selvtilrettelæggelse Sygeplejersker</t>
  </si>
  <si>
    <t>Startløn - Visitator</t>
  </si>
  <si>
    <t>Årlige lønninger grundbeløb 2000- Forhandlingsfællesskabet</t>
  </si>
  <si>
    <t>AC Løntrin + Rådighedstillæg i 2000-niveau</t>
  </si>
  <si>
    <t>Sundhedskartellet grundbeløb i 2006-niveau</t>
  </si>
  <si>
    <t>Grundsats</t>
  </si>
  <si>
    <t>Områdetillæg</t>
  </si>
  <si>
    <t>Samlet grundbeløb</t>
  </si>
  <si>
    <t>Trin</t>
  </si>
  <si>
    <t>Årlig grundløn i kr.</t>
  </si>
  <si>
    <t>Årsløn</t>
  </si>
  <si>
    <t>Års anciennitet</t>
  </si>
  <si>
    <t>Rådighedstillæg årligt i kr.</t>
  </si>
  <si>
    <t>Beregning af grundbeløb/nutidsbeløb</t>
  </si>
  <si>
    <t>Fra grundbeløb til nu</t>
  </si>
  <si>
    <t>Fra nu til grundbeløb</t>
  </si>
  <si>
    <t>Procentregulering</t>
  </si>
  <si>
    <t>Grundbeløb</t>
  </si>
  <si>
    <t>Nutidsværdi</t>
  </si>
  <si>
    <t>Forhandlingsfællesskabet +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</si>
</sst>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kr.&quot;_-;\-* #,##0.00\ &quot;kr.&quot;_-;_-* &quot;-&quot;??\ &quot;kr.&quot;_-;_-@_-"/>
    <numFmt numFmtId="164" formatCode="0.0000%"/>
    <numFmt numFmtId="165" formatCode="_(* #,##0.00_);_(* \(#,##0.00\);_(* &quot;-&quot;??_);_(@_)"/>
    <numFmt numFmtId="166" formatCode="_-* #,##0\ &quot;kr.&quot;_-;\-* #,##0\ &quot;kr.&quot;_-;_-* &quot;-&quot;??\ &quot;kr.&quot;_-;_-@_-"/>
  </numFmts>
  <fonts count="4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2"/>
      <name val="Times New Roman"/>
      <family val="1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0"/>
      <name val="Arial"/>
      <family val="2"/>
    </font>
    <font>
      <b/>
      <u/>
      <sz val="12"/>
      <color theme="5"/>
      <name val="Aptos Narrow"/>
      <family val="2"/>
      <scheme val="minor"/>
    </font>
    <font>
      <b/>
      <u/>
      <sz val="12"/>
      <color theme="3" tint="0.89999084444715716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8"/>
      <color rgb="FF000000"/>
      <name val="Aptos Narrow"/>
    </font>
    <font>
      <b/>
      <u/>
      <sz val="18"/>
      <color rgb="FF000000"/>
      <name val="Aptos Narrow"/>
    </font>
    <font>
      <b/>
      <u/>
      <sz val="18"/>
      <color rgb="FF00B0F0"/>
      <name val="Aptos Narrow"/>
    </font>
    <font>
      <b/>
      <sz val="18"/>
      <color theme="1"/>
      <name val="Aptos Narrow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/>
      <right style="thin">
        <color rgb="FF7F7F7F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5" fontId="13" fillId="0" borderId="0" applyFont="0" applyFill="0" applyBorder="0" applyAlignment="0" applyProtection="0"/>
  </cellStyleXfs>
  <cellXfs count="83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44" fontId="0" fillId="0" borderId="0" xfId="1" applyFont="1"/>
    <xf numFmtId="44" fontId="0" fillId="0" borderId="0" xfId="0" applyNumberFormat="1"/>
    <xf numFmtId="164" fontId="0" fillId="0" borderId="0" xfId="2" applyNumberFormat="1" applyFont="1"/>
    <xf numFmtId="44" fontId="3" fillId="2" borderId="1" xfId="3" applyNumberFormat="1"/>
    <xf numFmtId="44" fontId="4" fillId="3" borderId="2" xfId="4" applyNumberFormat="1"/>
    <xf numFmtId="44" fontId="3" fillId="2" borderId="1" xfId="1" applyFont="1" applyFill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5" xfId="0" applyBorder="1"/>
    <xf numFmtId="0" fontId="7" fillId="0" borderId="5" xfId="0" applyFont="1" applyBorder="1" applyAlignment="1">
      <alignment vertical="center" wrapText="1"/>
    </xf>
    <xf numFmtId="0" fontId="0" fillId="0" borderId="4" xfId="0" applyBorder="1"/>
    <xf numFmtId="0" fontId="10" fillId="0" borderId="4" xfId="0" applyFont="1" applyBorder="1"/>
    <xf numFmtId="0" fontId="10" fillId="0" borderId="4" xfId="0" quotePrefix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0" xfId="0" applyFont="1"/>
    <xf numFmtId="44" fontId="1" fillId="0" borderId="0" xfId="0" applyNumberFormat="1" applyFont="1" applyAlignment="1">
      <alignment horizontal="center"/>
    </xf>
    <xf numFmtId="164" fontId="3" fillId="2" borderId="1" xfId="3" applyNumberFormat="1" applyAlignment="1">
      <alignment horizontal="center"/>
    </xf>
    <xf numFmtId="164" fontId="3" fillId="2" borderId="6" xfId="3" applyNumberForma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0" xfId="0" applyFont="1"/>
    <xf numFmtId="166" fontId="0" fillId="0" borderId="0" xfId="1" applyNumberFormat="1" applyFont="1"/>
    <xf numFmtId="166" fontId="13" fillId="0" borderId="3" xfId="1" applyNumberFormat="1" applyFont="1" applyBorder="1"/>
    <xf numFmtId="166" fontId="13" fillId="0" borderId="0" xfId="1" applyNumberFormat="1" applyFont="1" applyBorder="1"/>
    <xf numFmtId="166" fontId="13" fillId="0" borderId="4" xfId="1" applyNumberFormat="1" applyFont="1" applyBorder="1"/>
    <xf numFmtId="0" fontId="0" fillId="0" borderId="10" xfId="0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0" fillId="0" borderId="12" xfId="0" quotePrefix="1" applyBorder="1"/>
    <xf numFmtId="0" fontId="0" fillId="0" borderId="13" xfId="0" quotePrefix="1" applyBorder="1"/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6" fillId="0" borderId="0" xfId="0" applyFont="1"/>
    <xf numFmtId="0" fontId="2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44" fontId="1" fillId="0" borderId="0" xfId="0" applyNumberFormat="1" applyFont="1"/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44" fontId="1" fillId="0" borderId="0" xfId="0" applyNumberFormat="1" applyFont="1" applyAlignment="1">
      <alignment horizont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indent="1"/>
    </xf>
    <xf numFmtId="0" fontId="37" fillId="0" borderId="0" xfId="0" applyFont="1" applyAlignment="1">
      <alignment horizontal="center"/>
    </xf>
    <xf numFmtId="44" fontId="37" fillId="0" borderId="0" xfId="1" applyFont="1"/>
    <xf numFmtId="0" fontId="37" fillId="0" borderId="0" xfId="0" applyFont="1"/>
    <xf numFmtId="44" fontId="38" fillId="0" borderId="0" xfId="0" applyNumberFormat="1" applyFont="1" applyAlignment="1">
      <alignment horizontal="center"/>
    </xf>
    <xf numFmtId="10" fontId="39" fillId="0" borderId="0" xfId="1" applyNumberFormat="1" applyFont="1"/>
    <xf numFmtId="10" fontId="0" fillId="0" borderId="0" xfId="0" applyNumberFormat="1"/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37" fillId="0" borderId="0" xfId="1" applyFont="1" applyAlignment="1">
      <alignment horizontal="center" vertical="center"/>
    </xf>
    <xf numFmtId="44" fontId="30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6">
    <cellStyle name="Input" xfId="3" builtinId="20"/>
    <cellStyle name="Komma 2" xfId="5" xr:uid="{A87AD6C9-8846-4AAC-B39F-B8BEC1D964B7}"/>
    <cellStyle name="Normal" xfId="0" builtinId="0"/>
    <cellStyle name="Output" xfId="4" builtinId="21"/>
    <cellStyle name="Procent" xfId="2" builtinId="5"/>
    <cellStyle name="Valuta" xfId="1" builtinId="4"/>
  </cellStyles>
  <dxfs count="164">
    <dxf>
      <numFmt numFmtId="14" formatCode="0.00%"/>
    </dxf>
    <dxf>
      <numFmt numFmtId="34" formatCode="_-* #,##0.00\ &quot;kr.&quot;_-;\-* #,##0.00\ &quot;kr.&quot;_-;_-* &quot;-&quot;??\ &quot;kr.&quot;_-;_-@_-"/>
    </dxf>
    <dxf>
      <numFmt numFmtId="34" formatCode="_-* #,##0.00\ &quot;kr.&quot;_-;\-* #,##0.00\ &quot;kr.&quot;_-;_-* &quot;-&quot;??\ &quot;kr.&quot;_-;_-@_-"/>
    </dxf>
    <dxf>
      <numFmt numFmtId="34" formatCode="_-* #,##0.00\ &quot;kr.&quot;_-;\-* #,##0.00\ &quot;kr.&quot;_-;_-* &quot;-&quot;??\ &quot;kr.&quot;_-;_-@_-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34" formatCode="_-* #,##0.00\ &quot;kr.&quot;_-;\-* #,##0.00\ &quot;kr.&quot;_-;_-* &quot;-&quot;??\ &quot;kr.&quot;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4" formatCode="_-* #,##0.00\ &quot;kr.&quot;_-;\-* #,##0.00\ &quot;kr.&quot;_-;_-* &quot;-&quot;??\ &quot;kr.&quot;_-;_-@_-"/>
      <alignment horizontal="general" vertical="bottom" textRotation="0" wrapText="0" indent="0" justifyLastLine="0" shrinkToFit="0" readingOrder="0"/>
    </dxf>
    <dxf>
      <numFmt numFmtId="34" formatCode="_-* #,##0.00\ &quot;kr.&quot;_-;\-* #,##0.00\ &quot;kr.&quot;_-;_-* &quot;-&quot;??\ &quot;kr.&quot;_-;_-@_-"/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  <alignment vertical="center" textRotation="0" wrapText="0" indent="0" justifyLastLine="0" shrinkToFit="0" readingOrder="0"/>
    </dxf>
    <dxf>
      <numFmt numFmtId="14" formatCode="0.00%"/>
    </dxf>
    <dxf>
      <font>
        <b/>
      </font>
      <numFmt numFmtId="34" formatCode="_-* #,##0.00\ &quot;kr.&quot;_-;\-* #,##0.00\ &quot;kr.&quot;_-;_-* &quot;-&quot;??\ &quot;kr.&quot;_-;_-@_-"/>
    </dxf>
    <dxf>
      <alignment horizontal="center" vertical="bottom" textRotation="0" wrapText="0" indent="0" justifyLastLine="0" shrinkToFit="0" readingOrder="0"/>
    </dxf>
    <dxf>
      <numFmt numFmtId="34" formatCode="_-* #,##0.00\ &quot;kr.&quot;_-;\-* #,##0.00\ &quot;kr.&quot;_-;_-* &quot;-&quot;??\ &quot;kr.&quot;_-;_-@_-"/>
    </dxf>
    <dxf>
      <numFmt numFmtId="34" formatCode="_-* #,##0.00\ &quot;kr.&quot;_-;\-* #,##0.00\ &quot;kr.&quot;_-;_-* &quot;-&quot;??\ &quot;kr.&quot;_-;_-@_-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strike val="0"/>
        <outline val="0"/>
        <shadow val="0"/>
        <vertAlign val="baseline"/>
        <color auto="1"/>
        <name val="Aptos Narrow"/>
        <family val="2"/>
        <scheme val="minor"/>
      </font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4" formatCode="_-* #,##0.00\ &quot;kr.&quot;_-;\-* #,##0.0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vertAlign val="baseline"/>
        <color auto="1"/>
        <name val="Aptos Narrow"/>
        <family val="2"/>
        <scheme val="minor"/>
      </font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numFmt numFmtId="34" formatCode="_-* #,##0.00\ &quot;kr.&quot;_-;\-* #,##0.00\ &quot;kr.&quot;_-;_-* &quot;-&quot;??\ &quot;kr.&quot;_-;_-@_-"/>
    </dxf>
    <dxf>
      <numFmt numFmtId="34" formatCode="_-* #,##0.00\ &quot;kr.&quot;_-;\-* #,##0.0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color rgb="FF0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font>
        <color rgb="FF000000"/>
      </font>
      <alignment horizontal="center" vertical="bottom" textRotation="0" wrapText="0" indent="0" justifyLastLine="0" shrinkToFit="0" readingOrder="0"/>
    </dxf>
    <dxf>
      <font>
        <color rgb="FF000000"/>
      </font>
      <alignment horizontal="lef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numFmt numFmtId="34" formatCode="_-* #,##0.00\ &quot;kr.&quot;_-;\-* #,##0.0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kr.&quot;_-;\-* #,##0.00\ &quot;kr.&quot;_-;_-* &quot;-&quot;??\ &quot;kr.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66" formatCode="_-* #,##0\ &quot;kr.&quot;_-;\-* #,##0\ &quot;kr.&quot;_-;_-* &quot;-&quot;??\ &quot;kr.&quot;_-;_-@_-"/>
    </dxf>
    <dxf>
      <numFmt numFmtId="166" formatCode="_-* #,##0\ &quot;kr.&quot;_-;\-* #,##0\ &quot;kr.&quot;_-;_-* &quot;-&quot;??\ &quot;kr.&quot;_-;_-@_-"/>
    </dxf>
    <dxf>
      <numFmt numFmtId="166" formatCode="_-* #,##0\ &quot;kr.&quot;_-;\-* #,##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_-* #,##0\ &quot;kr.&quot;_-;\-* #,##0\ &quot;kr.&quot;_-;_-* &quot;-&quot;??\ &quot;kr.&quot;_-;_-@_-"/>
    </dxf>
    <dxf>
      <numFmt numFmtId="166" formatCode="_-* #,##0\ &quot;kr.&quot;_-;\-* #,##0\ &quot;kr.&quot;_-;_-* &quot;-&quot;??\ &quot;kr.&quot;_-;_-@_-"/>
    </dxf>
    <dxf>
      <numFmt numFmtId="166" formatCode="_-* #,##0\ &quot;kr.&quot;_-;\-* #,##0\ &quot;kr.&quot;_-;_-* &quot;-&quot;??\ &quot;kr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_-* #,##0\ &quot;kr.&quot;_-;\-* #,##0\ &quot;kr.&quot;_-;_-* &quot;-&quot;??\ &quot;kr.&quot;_-;_-@_-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2" defaultTableStyle="TableStyleMedium2" defaultPivotStyle="PivotStyleLight16">
    <tableStyle name="Tabeltypografi 1" pivot="0" count="0" xr9:uid="{608E3B53-FE0F-410E-832D-86CEDECF598A}"/>
    <tableStyle name="Tabeltypografi 2" pivot="0" count="0" xr9:uid="{A307E42F-667D-405E-96FE-0F20245019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1</xdr:row>
      <xdr:rowOff>123826</xdr:rowOff>
    </xdr:from>
    <xdr:to>
      <xdr:col>15</xdr:col>
      <xdr:colOff>161925</xdr:colOff>
      <xdr:row>32</xdr:row>
      <xdr:rowOff>85725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59F43BB7-2F9D-85BB-ADB8-251DD80377DF}"/>
            </a:ext>
          </a:extLst>
        </xdr:cNvPr>
        <xdr:cNvSpPr txBox="1"/>
      </xdr:nvSpPr>
      <xdr:spPr>
        <a:xfrm>
          <a:off x="13496925" y="428626"/>
          <a:ext cx="4105275" cy="7648574"/>
        </a:xfrm>
        <a:prstGeom prst="rect">
          <a:avLst/>
        </a:prstGeom>
        <a:ln w="381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400" b="1"/>
            <a:t>Sådan bruges lønoversigten</a:t>
          </a:r>
        </a:p>
        <a:p>
          <a:endParaRPr lang="da-DK" sz="1100"/>
        </a:p>
        <a:p>
          <a:r>
            <a:rPr lang="da-DK" sz="1100"/>
            <a:t>Kære leder/rekrutteringsansvarlig</a:t>
          </a:r>
        </a:p>
        <a:p>
          <a:endParaRPr lang="da-DK" sz="1100"/>
        </a:p>
        <a:p>
          <a:r>
            <a:rPr lang="da-DK" sz="1100"/>
            <a:t>Arket her giver en oversigt over det aktuelle grundlønsniveau for de største</a:t>
          </a:r>
          <a:r>
            <a:rPr lang="da-DK" sz="1100" baseline="0"/>
            <a:t> personalegrupper i Hørsholm Kommune.</a:t>
          </a:r>
        </a:p>
        <a:p>
          <a:endParaRPr lang="da-DK" sz="1100" baseline="0"/>
        </a:p>
        <a:p>
          <a:r>
            <a:rPr lang="da-DK" sz="1100"/>
            <a:t>Du kan i tabellerne finde de grundlønssatser og faste tillæg, vi </a:t>
          </a:r>
          <a:r>
            <a:rPr lang="da-DK" sz="1100" u="sng"/>
            <a:t>som minimum</a:t>
          </a:r>
          <a:r>
            <a:rPr lang="da-DK" sz="1100"/>
            <a:t> </a:t>
          </a:r>
          <a:r>
            <a:rPr lang="da-DK" sz="1100" u="sng"/>
            <a:t>altid</a:t>
          </a:r>
          <a:r>
            <a:rPr lang="da-DK" sz="1100"/>
            <a:t> giver en ansat</a:t>
          </a:r>
          <a:r>
            <a:rPr lang="da-DK" sz="1100" baseline="0"/>
            <a:t> i den givne stilling, med den givne anciennitet.</a:t>
          </a:r>
        </a:p>
        <a:p>
          <a:endParaRPr lang="da-DK" sz="1100" baseline="0"/>
        </a:p>
        <a:p>
          <a:r>
            <a:rPr lang="da-DK" sz="1100" baseline="0"/>
            <a:t>Det vigtigste tal er tallet yderst til højre: "Samlet minimumsløn - Aktuelt niveau". Her kan du se hvad vi som minimum skal give en ansat, der ansættes efter de givne kriterier - i nutidskroner. Det er altså dette tal, du f.eks. skal skrive i dit jobopslag, som en startløn.</a:t>
          </a:r>
        </a:p>
        <a:p>
          <a:endParaRPr lang="da-DK" sz="1100" baseline="0"/>
        </a:p>
        <a:p>
          <a:r>
            <a:rPr lang="da-DK" sz="1100" b="1" baseline="0"/>
            <a:t>Eksempel</a:t>
          </a:r>
          <a:endParaRPr lang="da-DK" sz="1100" b="0" baseline="0"/>
        </a:p>
        <a:p>
          <a:r>
            <a:rPr lang="da-DK" sz="1100" b="0" baseline="0"/>
            <a:t>Du skal ansætte en lærer. Læreren må gerne være nyuddannet, hvorfor du orienterer dig i rækken med "Grundløn" i "Lærere"-tabellen.</a:t>
          </a:r>
        </a:p>
        <a:p>
          <a:endParaRPr lang="da-DK" sz="1100" b="0" baseline="0"/>
        </a:p>
        <a:p>
          <a:r>
            <a:rPr lang="da-DK" sz="1100" b="0" baseline="0"/>
            <a:t>Du kan se, at en nyuddannet lærer starter på løntrin 31, og altid får en række tillæg (alle vist i grundniveau 2000):</a:t>
          </a:r>
        </a:p>
        <a:p>
          <a:r>
            <a:rPr lang="da-DK" sz="1100" b="0" baseline="0"/>
            <a:t> - Et grundlønstillæg på 250 kr. pr. måned</a:t>
          </a:r>
        </a:p>
        <a:p>
          <a:r>
            <a:rPr lang="da-DK" sz="1100" b="0" baseline="0"/>
            <a:t> - Hørsholm-tillægget, på 866,67 kr. pr. måned</a:t>
          </a:r>
        </a:p>
        <a:p>
          <a:r>
            <a:rPr lang="da-DK" sz="1100" b="0" baseline="0"/>
            <a:t> - Et almentillæg på 400 kr. pr. måned</a:t>
          </a:r>
        </a:p>
        <a:p>
          <a:r>
            <a:rPr lang="da-DK" sz="1100" b="0" baseline="0"/>
            <a:t> - Et undervisningstillæg på 1.083,33 kr. pr. måned</a:t>
          </a:r>
        </a:p>
        <a:p>
          <a:endParaRPr lang="da-DK" sz="1100" b="0" baseline="0"/>
        </a:p>
        <a:p>
          <a:r>
            <a:rPr lang="da-DK" sz="1100" b="0"/>
            <a:t>Yderst til højre, er grundløn</a:t>
          </a:r>
          <a:r>
            <a:rPr lang="da-DK" sz="1100" b="0" baseline="0"/>
            <a:t> og alle tillæg lagt sammen og omregnet til en værdi i </a:t>
          </a:r>
          <a:r>
            <a:rPr lang="da-DK" sz="1100" b="0" u="sng" baseline="0"/>
            <a:t>nutidskroner</a:t>
          </a:r>
          <a:r>
            <a:rPr lang="da-DK" sz="1100" b="0" u="none" baseline="0"/>
            <a:t>. Det er altså dette tal, 38.111,33 kr., du skal skrive som startløn i dit stillingsopslag, hvis du vil ansætte en lærer, der godt må være nyuddannet.</a:t>
          </a:r>
        </a:p>
        <a:p>
          <a:endParaRPr lang="da-DK" sz="1100" b="0" u="none" baseline="0"/>
        </a:p>
        <a:p>
          <a:r>
            <a:rPr lang="da-DK" sz="1100" b="0" u="none" baseline="0"/>
            <a:t>Ved du, at du f.eks. kun vil ansætte en lærer med minimum fire års anciennitet, kan du vælge at skrive beløbet fra denne række i stedet (40.159,45 kr.)</a:t>
          </a:r>
        </a:p>
        <a:p>
          <a:endParaRPr lang="da-DK" sz="1100" b="0" u="none" baseline="0"/>
        </a:p>
        <a:p>
          <a:r>
            <a:rPr lang="da-DK" sz="1100" b="1" u="none" baseline="0"/>
            <a:t>Spørgsmål</a:t>
          </a:r>
        </a:p>
        <a:p>
          <a:r>
            <a:rPr lang="da-DK" sz="1100" b="0" u="none" baseline="0"/>
            <a:t>Ved spørgsmål, kan du kontakte personalechef Gert Ahrentech Jensen på mail: gaj@horsholm.dk</a:t>
          </a:r>
        </a:p>
        <a:p>
          <a:endParaRPr lang="da-DK" sz="1100" b="0" u="sng"/>
        </a:p>
        <a:p>
          <a:endParaRPr lang="da-DK" sz="1100" b="0" u="sng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2070FB-5831-44B2-8AE2-F01C95F2CEAF}" name="Tabel12" displayName="Tabel12" ref="A5:H8" totalsRowShown="0" headerRowDxfId="154" dataDxfId="153" headerRowCellStyle="Valuta" dataCellStyle="Valuta">
  <autoFilter ref="A5:H8" xr:uid="{B92070FB-5831-44B2-8AE2-F01C95F2CEAF}"/>
  <tableColumns count="8">
    <tableColumn id="1" xr3:uid="{3C325694-02A6-4200-8A54-D8871FF310C1}" name="60.01 Pædagoger" dataDxfId="152"/>
    <tableColumn id="2" xr3:uid="{0A2A096B-4060-428E-AE88-1519F285C48B}" name="Løntrin" dataDxfId="151"/>
    <tableColumn id="3" xr3:uid="{A7FEEA01-9FB0-4A9D-B383-4B892BE458DA}" name="Grundløn_x000a_31/03-2000-niveau" dataDxfId="150" dataCellStyle="Valuta">
      <calculatedColumnFormula>VLOOKUP(B6,Årlig_løn_grundbeløb[#All],4,FALSE)/12</calculatedColumnFormula>
    </tableColumn>
    <tableColumn id="4" xr3:uid="{AC167957-E3F4-4E0A-B45A-27403874D16A}" name="Grundlønstillæg_x000a_31/03-2000-niveau" dataDxfId="149" dataCellStyle="Valuta">
      <calculatedColumnFormula>14682/12</calculatedColumnFormula>
    </tableColumn>
    <tableColumn id="5" xr3:uid="{EB0D8F26-73E4-43D3-8779-FAE5AE98F0AA}" name="Lokalt aftalt tillæg_x000a_31/03-2000-niveau" dataDxfId="148" dataCellStyle="Valuta"/>
    <tableColumn id="6" xr3:uid="{59E8147C-16E7-4E77-8E44-F8A416819CFE}" name="Øvrige centrale tillæg_x000a_31/03-2000-niveau" dataDxfId="147" dataCellStyle="Valuta"/>
    <tableColumn id="7" xr3:uid="{92287BA9-24C9-4E9F-BFE8-651E04093B1E}" name="Øvrige tillæg_x000a_31/03-2000-niveau"/>
    <tableColumn id="8" xr3:uid="{656FC482-F811-4D3F-AB73-A78C1CFD006E}" name="Samlet minimumsløn_x000a_Aktuelt niveau" dataDxfId="146">
      <calculatedColumnFormula>SUM(C6:G6)*(1+$G$1)</calculatedColumnFormula>
    </tableColumn>
  </tableColumns>
  <tableStyleInfo name="TableStyleMedium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DDF9D51-237D-4C2D-93D5-3037491F7057}" name="Tabel1223" displayName="Tabel1223" ref="A5:I8" totalsRowShown="0" headerRowDxfId="97" dataDxfId="96" headerRowCellStyle="Valuta" dataCellStyle="Valuta">
  <autoFilter ref="A5:I8" xr:uid="{B92070FB-5831-44B2-8AE2-F01C95F2CEAF}"/>
  <tableColumns count="9">
    <tableColumn id="1" xr3:uid="{74D88264-A3B0-49FC-A554-6A9C0FB2CF2F}" name="60.01 Pædagoger- Børnehaver og skoler" dataDxfId="95"/>
    <tableColumn id="2" xr3:uid="{B1FBD0FF-3676-4E82-B90A-BA750D8B6A65}" name="Løntrin" dataDxfId="94"/>
    <tableColumn id="3" xr3:uid="{E03D4E0D-A29F-4DE8-A1B4-EF06357EA1D9}" name="Grundløn_x000a_Aktuelt niveau" dataDxfId="93" dataCellStyle="Valuta">
      <calculatedColumnFormula>(VLOOKUP(B6,Årlig_løn_grundbeløb[#All],4,FALSE)/12)*(1+$G$1)</calculatedColumnFormula>
    </tableColumn>
    <tableColumn id="4" xr3:uid="{CE4B470C-6A77-4B69-A3DD-D0EFAAB9B70C}" name="Grundlønstillæg_x000a_Aktuelt niveau" dataDxfId="92" dataCellStyle="Valuta">
      <calculatedColumnFormula>(14682/12)*(1+$G$1)</calculatedColumnFormula>
    </tableColumn>
    <tableColumn id="5" xr3:uid="{0156F674-9D0A-4124-A6BD-429ED1144E26}" name="Lokalt aftalt tillæg_x000a_Aktuelt niveau" dataDxfId="91" dataCellStyle="Valuta">
      <calculatedColumnFormula>(2000/12)*(1+$G$1)</calculatedColumnFormula>
    </tableColumn>
    <tableColumn id="6" xr3:uid="{E77F30E6-100D-4049-8F44-2CC29F55BB86}" name="Øvrige centrale tillæg_x000a_Aktuelt niveau" dataDxfId="90" dataCellStyle="Valuta"/>
    <tableColumn id="7" xr3:uid="{14DA3896-6C21-46EE-BE44-99A3359C313C}" name="Øvrige tillæg_x000a_Aktuelt niveau"/>
    <tableColumn id="8" xr3:uid="{A0959CCB-163F-4097-BC31-52EB9BA7AFC4}" name="Samlet minimumsløn_x000a_Aktuelt niveau" dataDxfId="89">
      <calculatedColumnFormula>SUM(C6:G6)</calculatedColumnFormula>
    </tableColumn>
    <tableColumn id="9" xr3:uid="{2C00C5D4-9387-4EB0-9B68-E8031E2FE307}" name="Pensions %" dataDxfId="88" dataCellStyle="Valuta"/>
  </tableColumns>
  <tableStyleInfo name="TableStyleMedium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2FF5EB1-E7FB-42EE-BE11-0FE7783AE01C}" name="Tabel1324" displayName="Tabel1324" ref="A11:I15" totalsRowShown="0" headerRowDxfId="87" dataDxfId="86" headerRowCellStyle="Valuta" dataCellStyle="Valuta">
  <autoFilter ref="A11:I15" xr:uid="{250EDB76-0B99-4EAD-9192-2CE962658DB1}"/>
  <tableColumns count="9">
    <tableColumn id="1" xr3:uid="{DEC92CA0-0AC2-4A21-B787-5504E8EB2CDC}" name="61.01 Pædagogmedhjælpere - Børnehaver og skoler" dataDxfId="85"/>
    <tableColumn id="2" xr3:uid="{3A5731C5-1702-495F-A625-3D2FEDA1BC91}" name="Løntrin" dataDxfId="84"/>
    <tableColumn id="3" xr3:uid="{57CD6027-267B-4283-8FCA-AC3244FDA6A2}" name="Grundløn_x000a_Aktuelt niveau" dataDxfId="83" dataCellStyle="Valuta">
      <calculatedColumnFormula>(VLOOKUP(B12,Årlig_løn_grundbeløb[#All],4,FALSE)/12)*(1+$G$1)</calculatedColumnFormula>
    </tableColumn>
    <tableColumn id="4" xr3:uid="{BBA1850A-DDC8-4847-95E6-FB4DCBB6D741}" name="Grundlønstillæg_x000a_Aktuelt niveau" dataDxfId="82" dataCellStyle="Valuta">
      <calculatedColumnFormula>(3272/12)*(1+$G$1)</calculatedColumnFormula>
    </tableColumn>
    <tableColumn id="5" xr3:uid="{841971A1-5DC7-4A26-9922-74B2815D9D1B}" name="Lokalt aftalt tillæg_x000a_Aktuelt niveau" dataDxfId="81" dataCellStyle="Valuta">
      <calculatedColumnFormula>(2000/12)*(1+$G$1)</calculatedColumnFormula>
    </tableColumn>
    <tableColumn id="6" xr3:uid="{48365DE9-6399-47CA-B224-542ADE28F4B6}" name="Øvrige centrale tillæg_x000a_Aktuelt niveau" dataDxfId="80" dataCellStyle="Valuta"/>
    <tableColumn id="7" xr3:uid="{32FEC35C-3019-412B-B674-DBC728C6EA4C}" name="Øvrige tillæg_x000a_Aktuelt niveau"/>
    <tableColumn id="8" xr3:uid="{4F9EB1F1-9398-499C-801D-AAB412314AB2}" name="Samlet minimumsløn_x000a_Aktuelt niveau" dataDxfId="79">
      <calculatedColumnFormula>SUM(C12:G12)</calculatedColumnFormula>
    </tableColumn>
    <tableColumn id="9" xr3:uid="{EF02256F-51CA-46A3-8464-182204BFB9B6}" name="Pensions %" dataDxfId="78" dataCellStyle="Valuta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38CF05C-D197-4E01-860B-E14461BF983D}" name="Tabel1425" displayName="Tabel1425" ref="A18:I22" totalsRowShown="0" headerRowDxfId="77" dataDxfId="76" headerRowCellStyle="Valuta" dataCellStyle="Valuta">
  <autoFilter ref="A18:I22" xr:uid="{9E8771D0-103E-4F9E-A307-E80A5C905CFB}"/>
  <tableColumns count="9">
    <tableColumn id="1" xr3:uid="{3101759C-B1E1-4863-9D3E-B8261031FFD1}" name="61.01 Pædagogiske assistenter - Børnehaver og skoler" dataDxfId="75"/>
    <tableColumn id="2" xr3:uid="{FCC88867-7A11-487B-8B7B-3E10CD1EC1F9}" name="Løntrin" dataDxfId="74"/>
    <tableColumn id="3" xr3:uid="{59BEFC74-BB70-42EE-B176-20A96D03495C}" name="Grundløn_x000a_Aktuelt niveau" dataDxfId="73" dataCellStyle="Valuta">
      <calculatedColumnFormula>(VLOOKUP(B19,Årlig_løn_grundbeløb[#All],4,FALSE)/12)*(1+$G$1)</calculatedColumnFormula>
    </tableColumn>
    <tableColumn id="4" xr3:uid="{D5656ED2-FF20-4542-93C4-8AABD7746B1D}" name="Grundlønstillæg_x000a_Aktuelt niveau" dataDxfId="72" dataCellStyle="Valuta">
      <calculatedColumnFormula>(4600/12)*(1+$G$1)</calculatedColumnFormula>
    </tableColumn>
    <tableColumn id="5" xr3:uid="{2AC3BF28-4C05-4128-A1F7-0E9C70938B1B}" name="Lokalt aftalt tillæg_x000a_Aktuelt niveau" dataDxfId="71" dataCellStyle="Valuta">
      <calculatedColumnFormula>(2000/12)*(1+$G$1)</calculatedColumnFormula>
    </tableColumn>
    <tableColumn id="6" xr3:uid="{53CDFBFA-FE7E-4626-A2ED-23A6CDFBFBC1}" name="Øvrige centrale tillæg_x000a_Aktuelt niveau" dataDxfId="70" dataCellStyle="Valuta"/>
    <tableColumn id="7" xr3:uid="{AC30F4BE-640D-411F-BCDC-6DBB0FE39A7E}" name="Øvrige tillæg_x000a_Aktuelt niveau" dataDxfId="69"/>
    <tableColumn id="8" xr3:uid="{98480FB9-EEB2-4E91-9542-F3BF422B1326}" name="Samlet minimumsløn_x000a_Aktuelt niveau" dataDxfId="68">
      <calculatedColumnFormula>SUM(C19:G19)</calculatedColumnFormula>
    </tableColumn>
    <tableColumn id="9" xr3:uid="{4F25E441-B8A3-40FF-BCAD-FA88B6EF2CED}" name="Pensions %" dataDxfId="67" dataCellStyle="Valuta"/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35C197C-1B89-4E43-965B-D56F22DD3A39}" name="Tabel1626" displayName="Tabel1626" ref="A25:I38" totalsRowShown="0" dataDxfId="66" dataCellStyle="Valuta">
  <autoFilter ref="A25:I38" xr:uid="{61863184-89B5-4A69-92E0-FE8022F2DF22}"/>
  <tableColumns count="9">
    <tableColumn id="1" xr3:uid="{9CA21111-BAB5-42CB-A131-62A43C18ABF8}" name="50.01 Lærere - Folkeskolen"/>
    <tableColumn id="2" xr3:uid="{888741B0-9F5A-48B1-8619-5C174B936F91}" name="Løntrin" dataDxfId="65"/>
    <tableColumn id="3" xr3:uid="{F375D052-E696-4BE5-82F7-6E6A96EFD76C}" name="Grundløn_x000a_Aktuelt niveau" dataDxfId="64" dataCellStyle="Valuta">
      <calculatedColumnFormula>VLOOKUP(B26,Årlig_løn_grundbeløb[#All],4,FALSE)/12</calculatedColumnFormula>
    </tableColumn>
    <tableColumn id="4" xr3:uid="{4AB09D62-4AF8-48D9-9F40-4725953394D0}" name="Grundlønstillæg_x000a_Aktuelt niveau" dataDxfId="63" dataCellStyle="Valuta"/>
    <tableColumn id="5" xr3:uid="{59F8D46E-29C4-4A58-AA14-36EC8F29D836}" name="Lokalt aftalt tillæg_x000a_Aktuelt niveau" dataDxfId="62" dataCellStyle="Valuta"/>
    <tableColumn id="6" xr3:uid="{D34D85A5-3E85-4822-808A-A0BB2DE73305}" name="Øvrige centrale tillæg_x000a_Aktuelt niveau" dataDxfId="61" dataCellStyle="Valuta">
      <calculatedColumnFormula>4800/12</calculatedColumnFormula>
    </tableColumn>
    <tableColumn id="7" xr3:uid="{56556BBE-7E46-4FC9-B6FF-0432E8BAC5F3}" name="Øvrige tillæg_x000a_Aktuelt niveau" dataDxfId="60" dataCellStyle="Valuta">
      <calculatedColumnFormula>13000/12</calculatedColumnFormula>
    </tableColumn>
    <tableColumn id="8" xr3:uid="{7C725420-8C58-4846-A7BB-C35BA3E1A840}" name="Samlet minimumsløn_x000a_Aktuelt niveau" dataDxfId="59">
      <calculatedColumnFormula>SUM(C26:G26)*(1+$G$1)</calculatedColumnFormula>
    </tableColumn>
    <tableColumn id="9" xr3:uid="{AA8D02EC-2A92-4E54-9A45-B0D69672B60C}" name="Pensions %" dataDxfId="58" dataCellStyle="Valuta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0726BF7-F1E9-4D45-9BCE-1326A5A29F1E}" name="Tabel1727" displayName="Tabel1727" ref="A41:I58" totalsRowShown="0" headerRowDxfId="57">
  <autoFilter ref="A41:I58" xr:uid="{7697BC79-9E00-43DA-947E-6BCBA0D9282C}"/>
  <tableColumns count="9">
    <tableColumn id="1" xr3:uid="{58A73163-F8CA-48D0-A8FB-27BEC8932D5F}" name="31.01 Akademikere (I generaliststilling)" dataDxfId="56"/>
    <tableColumn id="2" xr3:uid="{57CACADC-2859-400A-9EE0-99F3387EA870}" name="Løntrin" dataDxfId="55"/>
    <tableColumn id="3" xr3:uid="{C84DDC76-37A9-4355-A81B-19EB2D88EC0B}" name="Grundløn_x000a_Aktuelt niveau" dataDxfId="54" dataCellStyle="Valuta"/>
    <tableColumn id="4" xr3:uid="{CF6FC67D-F5C1-4166-AFD7-FF261E5E8D7D}" name="Grundlønstillæg_x000a_Aktuelt niveau" dataDxfId="53" dataCellStyle="Valuta"/>
    <tableColumn id="5" xr3:uid="{E3079275-D28E-4411-82B2-739899E34368}" name="Lokalt aftalt tillæg_x000a_Aktuelt niveau"/>
    <tableColumn id="6" xr3:uid="{3C541DB4-B7DE-40B3-9209-860C7F23387D}" name="Øvrige centrale tillæg_x000a_Aktuelt niveau" dataDxfId="52"/>
    <tableColumn id="7" xr3:uid="{DD9E2B78-9AC2-4115-B758-A7A6E1196F8D}" name="Øvrige tillæg_x000a_Aktuelt niveau"/>
    <tableColumn id="8" xr3:uid="{54B52ACC-E295-4C53-9D2E-E8C65EEE4939}" name="Samlet minimumsløn_x000a_Aktuelt niveau" dataDxfId="51"/>
    <tableColumn id="9" xr3:uid="{48C7E35D-3C46-4AE3-9073-C1FA206523D1}" name="Pensions %" dataDxfId="50"/>
  </tableColumns>
  <tableStyleInfo name="TableStyleMedium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6AF0A99-12A6-44D9-9356-917973AF463B}" name="Tabel1828" displayName="Tabel1828" ref="A61:I67" totalsRowShown="0">
  <autoFilter ref="A61:I67" xr:uid="{D50D3A11-88E5-4EE5-9546-34711F99C1F7}"/>
  <tableColumns count="9">
    <tableColumn id="1" xr3:uid="{6590F64F-8AFF-4723-8BE8-93807CCF4D7C}" name="30.11 Administration og IT assistenter" dataDxfId="49"/>
    <tableColumn id="2" xr3:uid="{C71F21D8-E3BE-472E-8D9C-7535104C5F76}" name="Løntrin" dataDxfId="48"/>
    <tableColumn id="3" xr3:uid="{CEACD148-0A4B-4772-ACEE-51E3FCD273BF}" name="Grundløn_x000a_Aktuelt niveau" dataDxfId="47" dataCellStyle="Valuta">
      <calculatedColumnFormula>(VLOOKUP(B62,Årlig_løn_grundbeløb[#All],4,FALSE)/12)*(1+$G$1)</calculatedColumnFormula>
    </tableColumn>
    <tableColumn id="4" xr3:uid="{3144FF42-4DC3-4820-B480-DBEEDC34EAA8}" name="Grundlønstillæg_x000a_Aktuelt niveau" dataDxfId="46">
      <calculatedColumnFormula>(1400/12)*(1+$G$1)</calculatedColumnFormula>
    </tableColumn>
    <tableColumn id="5" xr3:uid="{E229E621-5377-4637-AA29-F064DC1737BE}" name="Lokalt aftalt tillæg_x000a_Aktuelt niveau" dataDxfId="45">
      <calculatedColumnFormula>1400/12</calculatedColumnFormula>
    </tableColumn>
    <tableColumn id="6" xr3:uid="{6BD4A35C-EC38-4BEA-B2A3-91F0AE948F89}" name="Øvrige centrale tillæg_x000a_Aktuelt niveau"/>
    <tableColumn id="7" xr3:uid="{32084867-6554-4842-A5BD-BED6F0E63071}" name="Øvrige tillæg_x000a_Aktuelt niveau"/>
    <tableColumn id="8" xr3:uid="{28BE32AD-E532-4E49-AB14-16D0B1317A5C}" name="Samlet minimumsløn_x000a_Aktuelt niveau" dataDxfId="44">
      <calculatedColumnFormula>SUM(C62:G62)</calculatedColumnFormula>
    </tableColumn>
    <tableColumn id="9" xr3:uid="{6092C268-FBA8-431F-A70F-211F667FEE66}" name="Pensions %" dataDxfId="43"/>
  </tableColumns>
  <tableStyleInfo name="TableStyleMedium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905F19C-CDE6-4CE6-BBAF-DAABBA91DA8E}" name="Tabel2030" displayName="Tabel2030" ref="A70:I81" totalsRowShown="0" headerRowDxfId="42">
  <autoFilter ref="A70:I81" xr:uid="{39B141F7-523F-4E29-8C31-409A26C5995B}"/>
  <tableColumns count="9">
    <tableColumn id="1" xr3:uid="{262546E7-C066-4EF3-BE74-DA08F9BE3215}" name="73.01 Social- og sundhedsområdet" dataDxfId="41"/>
    <tableColumn id="2" xr3:uid="{CD757FDC-F0B5-4AB5-9956-1FE83F7B95EF}" name="Løntrin" dataDxfId="40"/>
    <tableColumn id="3" xr3:uid="{3ADF52D2-7588-49EB-950D-DAC7C6FA3AC4}" name="Grundløn_x000a_Aktuelt niveau" dataDxfId="39" dataCellStyle="Valuta">
      <calculatedColumnFormula>(VLOOKUP(B71,Årlig_løn_grundbeløb[#All],4,FALSE)/12)*(1+$G$1)</calculatedColumnFormula>
    </tableColumn>
    <tableColumn id="4" xr3:uid="{D2072C30-9185-4234-B857-DB2C2F6DC20C}" name="Grundlønstillæg_x000a_Aktuelt niveau" dataDxfId="38">
      <calculatedColumnFormula>(520/12)*(1+$G$1)</calculatedColumnFormula>
    </tableColumn>
    <tableColumn id="5" xr3:uid="{93AC6EC4-7D6C-474C-A268-1487FACA74EE}" name="Lokalt aftalt tillæg_x000a_Aktuelt niveau" dataDxfId="37"/>
    <tableColumn id="6" xr3:uid="{44BD3279-93F7-4315-AB13-7E71958C9E92}" name="Øvrige centrale tillæg_x000a_Aktuelt niveau"/>
    <tableColumn id="7" xr3:uid="{AD39D9FC-B756-4AC3-B384-8E832C7D2411}" name="Øvrige tillæg_x000a_Aktuelt niveau"/>
    <tableColumn id="8" xr3:uid="{40C2B67A-E77D-442E-86B5-B67B7578687E}" name="Samlet minimumsløn_x000a_Aktuelt niveau" dataDxfId="36">
      <calculatedColumnFormula>SUM(E71:G71)</calculatedColumnFormula>
    </tableColumn>
    <tableColumn id="9" xr3:uid="{EF57D428-7F5C-4856-9FF9-7DAA539981BD}" name="Pensions %" dataDxfId="35"/>
  </tableColumns>
  <tableStyleInfo name="TableStyleMedium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62647F6-A42A-4918-8177-991950A8897B}" name="Tabel2131" displayName="Tabel2131" ref="A105:I112" totalsRowShown="0" headerRowDxfId="34">
  <autoFilter ref="A105:I112" xr:uid="{9BDA0914-EC51-4CF7-8FEE-391DCF8220C1}"/>
  <tableColumns count="9">
    <tableColumn id="1" xr3:uid="{61C41822-BFF9-4BE8-BF66-F66C5BF8D2EE}" name="70.01 Sygeplejersker" dataDxfId="33"/>
    <tableColumn id="2" xr3:uid="{9CDF166A-9E45-40B4-8BDF-0DBBF0E7F06D}" name="Løntrin" dataDxfId="32"/>
    <tableColumn id="3" xr3:uid="{C646E19D-2070-46D8-A694-B42A2D1CDCE8}" name="Grundløn_x000a_Aktuelt niveau" dataDxfId="31" dataCellStyle="Valuta"/>
    <tableColumn id="4" xr3:uid="{A1C998FC-DB0D-406B-B609-3B47A6ABBFD8}" name="Grundlønstillæg_x000a_Aktuelt niveau"/>
    <tableColumn id="5" xr3:uid="{E471E8F3-33FA-4A0C-877F-4DAC25C8E19D}" name="Lokalt aftalt tillæg_x000a_Aktuelt niveau"/>
    <tableColumn id="6" xr3:uid="{08379D59-BFCA-4081-9D4E-C89F14CF76D7}" name="Øvrige centrale tillæg_x000a_Aktuelt niveau"/>
    <tableColumn id="7" xr3:uid="{7E675C24-B11A-414E-AC61-6D474103E556}" name="Øvrige tillæg_x000a_Aktuelt niveau"/>
    <tableColumn id="8" xr3:uid="{67CB4203-C49C-4136-A5A9-EF0D668DE915}" name="Samlet minimumsløn_x000a_Aktuelt niveau" dataDxfId="30"/>
    <tableColumn id="9" xr3:uid="{2B743E8D-A68E-4977-84FA-BBA5B51BC5BB}" name="Pensions %" dataDxfId="29"/>
  </tableColumns>
  <tableStyleInfo name="TableStyleMedium1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1B1920-2625-41B7-94CB-0DF34D3CAE6B}" name="Tabel79" displayName="Tabel79" ref="A85:I88" totalsRowShown="0" headerRowDxfId="28">
  <autoFilter ref="A85:I88" xr:uid="{7E1B1920-2625-41B7-94CB-0DF34D3CAE6B}"/>
  <tableColumns count="9">
    <tableColumn id="1" xr3:uid="{5928D5FA-5D12-4443-840B-8409239FDC38}" name="41.21 Rengøring"/>
    <tableColumn id="2" xr3:uid="{600B1CCE-8DBC-472B-97F6-787D32B4C2A9}" name="Løntrin" dataDxfId="27"/>
    <tableColumn id="3" xr3:uid="{0833258A-D3A8-4F18-819B-34BA454CFB29}" name="Grundløn_x000a_Aktuelt niveau" dataDxfId="26">
      <calculatedColumnFormula>(VLOOKUP(B86,Årlig_løn_grundbeløb[#All],4,FALSE)/12)*(1+$G$1)</calculatedColumnFormula>
    </tableColumn>
    <tableColumn id="4" xr3:uid="{937BBFD0-5E5F-4CE3-AA19-8CE265F74A52}" name="Grundlønstillæg_x000a_Aktuelt niveau" dataDxfId="25"/>
    <tableColumn id="5" xr3:uid="{54693155-F273-4E5C-B3F3-F8283823ABBC}" name="Lokalt aftalt tillæg_x000a_Aktuelt niveau" dataDxfId="24"/>
    <tableColumn id="6" xr3:uid="{49E3AEBD-4DB2-49AC-ACDD-8A95C349BE91}" name="Øvrige centrale tillæg_x000a_Aktuelt niveau"/>
    <tableColumn id="7" xr3:uid="{CA9B15F4-FAEF-4649-9E63-E96D61046BF1}" name="Øvrige tillæg_x000a_Aktuelt niveau"/>
    <tableColumn id="8" xr3:uid="{8DC89984-C515-4A00-94B8-21911698C5BC}" name="Samlet minimumsløn_x000a_Aktuelt niveau" dataDxfId="23">
      <calculatedColumnFormula>SUM(C86:G86)</calculatedColumnFormula>
    </tableColumn>
    <tableColumn id="9" xr3:uid="{821D45E1-ABB5-45F2-8A42-A2AD5952AD88}" name="Pensions %" dataDxfId="22"/>
  </tableColumns>
  <tableStyleInfo name="TableStyleMedium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E4042AC-E6C6-461C-BBF6-268CA7523077}" name="Tabel15" displayName="Tabel15" ref="A91:I94" totalsRowShown="0" headerRowDxfId="21" dataDxfId="20">
  <autoFilter ref="A91:I94" xr:uid="{DE4042AC-E6C6-461C-BBF6-268CA7523077}"/>
  <tableColumns count="9">
    <tableColumn id="1" xr3:uid="{26581209-D04A-45B9-B05F-33C4BE454377}" name="40.01 Specialarbejdere - Teknik og miljø"/>
    <tableColumn id="2" xr3:uid="{C91E4EC6-48AD-4E4C-820F-E963D9C57E67}" name="Løntrin " dataDxfId="19"/>
    <tableColumn id="3" xr3:uid="{4D951450-692B-496A-9093-2F6F394D4A45}" name="Grundløn_x000a_Aktuelt niveau" dataDxfId="18">
      <calculatedColumnFormula>(VLOOKUP(B92,Årlig_løn_grundbeløb[#All],4,FALSE)/12)*(1+$G$1)</calculatedColumnFormula>
    </tableColumn>
    <tableColumn id="4" xr3:uid="{A831E970-C530-4DC9-9671-4F0FDB31FDAD}" name="Grundlønstillæg_x000a_Aktuelt niveau" dataDxfId="17"/>
    <tableColumn id="5" xr3:uid="{469544C5-3FF8-498E-B450-653616C8C437}" name="Lokalt aftalt tillæg_x000a_Aktuelt niveau" dataDxfId="16"/>
    <tableColumn id="6" xr3:uid="{ADBFA7CA-28F8-491A-80FD-B7E81E1DBA93}" name="Øvrige centrale tillæg_x000a_Aktuelt niveau" dataDxfId="15"/>
    <tableColumn id="7" xr3:uid="{62E36E98-1E82-4D71-A4B4-0A4979CEE872}" name="Øvrige tillæg_x000a_Aktuelt niveau" dataDxfId="14"/>
    <tableColumn id="8" xr3:uid="{380E1352-1D49-477A-9530-C969D61F6FD4}" name="Samlet minimumsløn_x000a_Aktuelt niveau" dataDxfId="13">
      <calculatedColumnFormula>SUM(C92:G92)</calculatedColumnFormula>
    </tableColumn>
    <tableColumn id="9" xr3:uid="{3C1144F9-DD65-444E-BA1B-2F890DAC0F93}" name="Pensions %" dataDxfId="12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0EDB76-0B99-4EAD-9192-2CE962658DB1}" name="Tabel13" displayName="Tabel13" ref="A10:H14" totalsRowShown="0" headerRowDxfId="145" dataDxfId="144" headerRowCellStyle="Valuta" dataCellStyle="Valuta">
  <autoFilter ref="A10:H14" xr:uid="{250EDB76-0B99-4EAD-9192-2CE962658DB1}"/>
  <tableColumns count="8">
    <tableColumn id="1" xr3:uid="{A8C91672-38F4-47C4-93EA-9C5E359438A4}" name="61.01 Pædagogmedhjælpere" dataDxfId="143"/>
    <tableColumn id="2" xr3:uid="{AADE34DD-586E-448E-B7B0-BFC16C6F7AC7}" name="Løntrin" dataDxfId="142"/>
    <tableColumn id="3" xr3:uid="{8C7F9855-EFC7-45AD-8AAA-958EE3B970B2}" name="Grundløn_x000a_31/03-2000-niveau" dataDxfId="141" dataCellStyle="Valuta">
      <calculatedColumnFormula>VLOOKUP(B11,Årlig_løn_grundbeløb[#All],4,FALSE)/12</calculatedColumnFormula>
    </tableColumn>
    <tableColumn id="4" xr3:uid="{DB30D691-9FF8-4DE6-80D6-2818ABF5B620}" name="Grundlønstillæg_x000a_31/03-2000-niveau" dataDxfId="140" dataCellStyle="Valuta">
      <calculatedColumnFormula>3272/12</calculatedColumnFormula>
    </tableColumn>
    <tableColumn id="5" xr3:uid="{AEA1F746-40E3-4540-A389-C45FD54C5450}" name="Lokalt aftalt tillæg_x000a_31/03-2000-niveau" dataDxfId="139" dataCellStyle="Valuta"/>
    <tableColumn id="6" xr3:uid="{672C8819-40FA-42B9-BF05-93CAF10FFBC9}" name="Øvrige centrale tillæg_x000a_31/03-2000-niveau" dataDxfId="138" dataCellStyle="Valuta"/>
    <tableColumn id="7" xr3:uid="{9DA6DEF8-E7C2-4758-BEFB-D9A8B72F3BCE}" name="Øvrige tillæg_x000a_31/03-2000-niveau"/>
    <tableColumn id="8" xr3:uid="{FB1A00F8-F322-4408-9B42-A3D0ABD2E09B}" name="Samlet minimumsløn_x000a_Aktuelt niveau" dataDxfId="137">
      <calculatedColumnFormula>SUM(C11:G11)*(1+$G$1)</calculatedColumnFormula>
    </tableColumn>
  </tableColumns>
  <tableStyleInfo name="TableStyleMedium1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B386704-846A-4FD8-B6FC-4BF6DADED3B4}" name="Tabel5" displayName="Tabel5" ref="A96:I100" totalsRowShown="0">
  <autoFilter ref="A96:I100" xr:uid="{FB386704-846A-4FD8-B6FC-4BF6DADED3B4}"/>
  <tableColumns count="9">
    <tableColumn id="1" xr3:uid="{0B35C88B-434E-4EBC-8470-CF63DA22B42C}" name="30.31 Socialrådgivere og socialformidlere" dataDxfId="11"/>
    <tableColumn id="2" xr3:uid="{CC7F23B4-E3C1-49FB-9B3A-DA809DD5CA25}" name="Løntrin " dataDxfId="10"/>
    <tableColumn id="3" xr3:uid="{B01C8E68-3F35-4B76-8AE7-A4CE59003E5F}" name="Grundløn_x000a_Aktuelt niveau" dataDxfId="9" dataCellStyle="Valuta">
      <calculatedColumnFormula>(VLOOKUP(B97,Årlig_løn_grundbeløb[#All],4,FALSE)/12)*(1+$G$1)</calculatedColumnFormula>
    </tableColumn>
    <tableColumn id="4" xr3:uid="{4A34721D-FB80-4418-879F-B681271E59CD}" name="Grundlønstillæg_x000a_Aktuelt niveau" dataDxfId="8" dataCellStyle="Valuta">
      <calculatedColumnFormula>(2000/12)*(1+$G$1)</calculatedColumnFormula>
    </tableColumn>
    <tableColumn id="5" xr3:uid="{177AE9DD-2712-45FF-A972-649C99271E32}" name="Lokalt aftalt tillæg"/>
    <tableColumn id="6" xr3:uid="{9A731C84-2570-4967-8AF4-1DCE684B1D48}" name="Øvrige centrale tillæg_x000a_Aktuelt niveau"/>
    <tableColumn id="7" xr3:uid="{EE4341F7-788D-4118-958E-671D62FADA4D}" name="Øvrige tillæg_x000a_Aktuelt niveau"/>
    <tableColumn id="8" xr3:uid="{B605071D-E827-4347-B61A-28FE66BDA0EE}" name="Samlet minimumsløn_x000a_Aktuelt niveau" dataDxfId="7">
      <calculatedColumnFormula>Tabel5[[#This Row],[Grundløn
Aktuelt niveau]]+Tabel5[[#This Row],[Grundlønstillæg
Aktuelt niveau]]</calculatedColumnFormula>
    </tableColumn>
    <tableColumn id="9" xr3:uid="{BA4133FD-BBAF-40CB-B22D-2BE9519FC205}" name="Pensions %" dataDxfId="6"/>
  </tableColumns>
  <tableStyleInfo name="TableStyleMedium4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B5829E-B96E-414E-9961-A1CC8E566432}" name="Tabel6" displayName="Tabel6" ref="A115:I119" totalsRowShown="0" headerRowDxfId="5">
  <autoFilter ref="A115:I119" xr:uid="{70B5829E-B96E-414E-9961-A1CC8E566432}"/>
  <tableColumns count="9">
    <tableColumn id="1" xr3:uid="{0748BEF2-EB1E-4704-A413-D59D5F5651CE}" name="70.01 Selvtilrettelæggelse Sygeplejersker"/>
    <tableColumn id="2" xr3:uid="{52EB1A1C-FF21-44D9-B6CD-18A635BD3D8D}" name="Løntrin" dataDxfId="4"/>
    <tableColumn id="3" xr3:uid="{373482D4-7157-4A4F-818B-CC95B34A3137}" name="Grundløn_x000a_Aktuelt niveau" dataDxfId="3">
      <calculatedColumnFormula>(VLOOKUP(B116,SHK_grundløn[#All],2,FALSE)/12)*(1+$G$2)</calculatedColumnFormula>
    </tableColumn>
    <tableColumn id="4" xr3:uid="{4DC951C3-29C8-4109-8909-6B9C934EB6AC}" name="Grundlønstillæg_x000a_Aktuelt niveau" dataDxfId="2"/>
    <tableColumn id="5" xr3:uid="{DFF10787-CAC2-42AC-B3DF-68D891B4A10D}" name="Lokalt aftalt tillæg_x000a_Aktuelt niveau"/>
    <tableColumn id="6" xr3:uid="{571FB44A-C482-4779-8F61-4668685ED2B4}" name="Øvrige centrale tillæg_x000a_Aktuelt niveau"/>
    <tableColumn id="7" xr3:uid="{DEB2C631-B193-4DB3-AE27-FBC4F14A9F6B}" name="Øvrige tillæg_x000a_Aktuelt niveau"/>
    <tableColumn id="8" xr3:uid="{9C68BA05-941D-4D16-91DF-E1B178106CA1}" name="Samlet minimumsløn_x000a_Aktuelt niveau" dataDxfId="1">
      <calculatedColumnFormula>Tabel6[[#This Row],[Grundløn
Aktuelt niveau]]+Tabel6[[#This Row],[Lokalt aftalt tillæg
Aktuelt niveau]]</calculatedColumnFormula>
    </tableColumn>
    <tableColumn id="9" xr3:uid="{CF02E949-B0BC-4145-BDDB-56E12EADFC78}" name="Pensions %" dataDxfId="0"/>
  </tableColumns>
  <tableStyleInfo name="TableStyleMedium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7FCCA7-3656-4B51-988B-330312858FB7}" name="Årlig_løn_grundbeløb" displayName="Årlig_løn_grundbeløb" ref="B3:E59" totalsRowShown="0" headerRowDxfId="163">
  <autoFilter ref="B3:E59" xr:uid="{AB7FCCA7-3656-4B51-988B-330312858FB7}"/>
  <tableColumns count="4">
    <tableColumn id="1" xr3:uid="{51DB8479-2A77-4E56-A53E-00335ADC3A25}" name="Løntrin" dataDxfId="162"/>
    <tableColumn id="2" xr3:uid="{2EDD5D0A-9AEF-409C-BDF4-A940DBFFEA36}" name="Grundsats" dataDxfId="161" dataCellStyle="Valuta"/>
    <tableColumn id="3" xr3:uid="{A2788457-EC38-47F3-AD1E-667B740A62FE}" name="Områdetillæg" dataDxfId="160" dataCellStyle="Valuta"/>
    <tableColumn id="4" xr3:uid="{60AE6BD3-84D9-434C-AC02-B6C6C8161A48}" name="Samlet grundbeløb" dataDxfId="159" dataCellStyle="Valuta">
      <calculatedColumnFormula>C4+D4</calculatedColumnFormula>
    </tableColumn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AEA535-80C0-4257-A6F1-815CDB5C9959}" name="AC_grundløn" displayName="AC_grundløn" ref="G3:H10" totalsRowShown="0">
  <autoFilter ref="G3:H10" xr:uid="{CDAEA535-80C0-4257-A6F1-815CDB5C9959}"/>
  <tableColumns count="2">
    <tableColumn id="1" xr3:uid="{D436274E-09CC-43EE-9F05-332C411A2B41}" name="Trin"/>
    <tableColumn id="2" xr3:uid="{8AB84689-C044-41B0-B3EA-4CE861ABAE1F}" name="Årlig grundløn i kr." dataDxfId="158" dataCellStyle="Valuta"/>
  </tableColumns>
  <tableStyleInfo name="TableStyleLight3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365C8A-41B4-42ED-871C-619D43B74DF0}" name="AC_rådighedstillæg" displayName="AC_rådighedstillæg" ref="G12:H20" totalsRowShown="0">
  <autoFilter ref="G12:H20" xr:uid="{C2365C8A-41B4-42ED-871C-619D43B74DF0}"/>
  <tableColumns count="2">
    <tableColumn id="1" xr3:uid="{A28F4E69-F6B7-42C1-8851-A75F7802111D}" name="Års anciennitet"/>
    <tableColumn id="2" xr3:uid="{38502F23-9500-495F-A5BF-69D39D5BFA46}" name="Rådighedstillæg årligt i kr." dataCellStyle="Valuta"/>
  </tableColumns>
  <tableStyleInfo name="TableStyleLight3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56937F-012F-4E30-B492-8715F19F1075}" name="SHK_grundløn" displayName="SHK_grundløn" ref="J3:M12" totalsRowShown="0">
  <autoFilter ref="J3:M12" xr:uid="{DC56937F-012F-4E30-B492-8715F19F1075}"/>
  <tableColumns count="4">
    <tableColumn id="1" xr3:uid="{278C26F3-FE5D-4615-BD6D-0A212AFBF8C3}" name="Trin"/>
    <tableColumn id="2" xr3:uid="{7510BE1B-40CF-4826-8F9D-5F56B4A8FFDE}" name="Årsløn" dataDxfId="157" dataCellStyle="Valuta"/>
    <tableColumn id="3" xr3:uid="{FCA11304-C186-4FDF-8905-F07E7EFF2229}" name="Områdetillæg" dataDxfId="156" dataCellStyle="Valuta"/>
    <tableColumn id="4" xr3:uid="{FA41E08E-45CE-4884-8757-6B823D3D6725}" name="Samlet grundbeløb" dataDxfId="155" dataCellStyle="Valuta">
      <calculatedColumnFormula>K4+L4</calculatedColumnFormula>
    </tableColumn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E8771D0-103E-4F9E-A307-E80A5C905CFB}" name="Tabel14" displayName="Tabel14" ref="A16:H20" totalsRowShown="0" headerRowDxfId="136" dataDxfId="135" headerRowCellStyle="Valuta" dataCellStyle="Valuta">
  <autoFilter ref="A16:H20" xr:uid="{9E8771D0-103E-4F9E-A307-E80A5C905CFB}"/>
  <tableColumns count="8">
    <tableColumn id="1" xr3:uid="{352878D2-2912-4631-8251-94A7FD41052C}" name="61.01 Pædagogiske assistenter" dataDxfId="134"/>
    <tableColumn id="2" xr3:uid="{A6C442CD-2A09-40BD-A5CF-9EFB4A0397C9}" name="Løntrin" dataDxfId="133"/>
    <tableColumn id="3" xr3:uid="{2E35F297-94F3-48D3-9899-EACF8990FAF0}" name="Grundløn_x000a_31/03-2000-niveau" dataDxfId="132" dataCellStyle="Valuta">
      <calculatedColumnFormula>VLOOKUP(B17,Årlig_løn_grundbeløb[#All],4,FALSE)/12</calculatedColumnFormula>
    </tableColumn>
    <tableColumn id="4" xr3:uid="{59630D67-B03B-48C6-BB17-4A91A17FAD6C}" name="Grundlønstillæg_x000a_31/03-2000-niveau" dataDxfId="131" dataCellStyle="Valuta">
      <calculatedColumnFormula>4600/12</calculatedColumnFormula>
    </tableColumn>
    <tableColumn id="5" xr3:uid="{9C31D635-4874-48BA-BD6B-5FF1851E7C81}" name="Lokalt aftalt tillæg_x000a_31/03-2000-niveau" dataDxfId="130" dataCellStyle="Valuta"/>
    <tableColumn id="6" xr3:uid="{34EFCA20-4848-4655-AE39-56C640F29120}" name="Øvrige centrale tillæg_x000a_31/03-2000-niveau" dataDxfId="129" dataCellStyle="Valuta"/>
    <tableColumn id="7" xr3:uid="{65F82E4E-70D8-4D16-A198-184AD37C0040}" name="Øvrige tillæg_x000a_31/03-2000-niveau"/>
    <tableColumn id="8" xr3:uid="{468A12A5-C5BE-4CC8-B2BC-060A88462BAD}" name="Samlet minimumsløn_x000a_Aktuelt niveau" dataDxfId="128">
      <calculatedColumnFormula>SUM(C17:G17)*(1+$G$1)</calculatedColumnFormula>
    </tableColumn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1863184-89B5-4A69-92E0-FE8022F2DF22}" name="Tabel16" displayName="Tabel16" ref="A22:H27" totalsRowShown="0" dataDxfId="127" dataCellStyle="Valuta">
  <autoFilter ref="A22:H27" xr:uid="{61863184-89B5-4A69-92E0-FE8022F2DF22}"/>
  <tableColumns count="8">
    <tableColumn id="1" xr3:uid="{1E5C0F66-75DA-4ED4-B6C0-82F016487BA2}" name="50.01 Lærere"/>
    <tableColumn id="2" xr3:uid="{C2F73B9A-D515-470F-B159-B10B932F2690}" name="Løntrin" dataDxfId="126"/>
    <tableColumn id="3" xr3:uid="{DAD027AF-6119-4EA8-A380-5D9827F250F2}" name="Grundløn_x000a_31/03-2000-niveau" dataDxfId="125" dataCellStyle="Valuta">
      <calculatedColumnFormula>VLOOKUP(B23,Årlig_løn_grundbeløb[#All],4,FALSE)/12</calculatedColumnFormula>
    </tableColumn>
    <tableColumn id="4" xr3:uid="{B4C45682-63F5-40DD-82CB-E78B204499C8}" name="Grundlønstillæg_x000a_31/03-2000-niveau" dataDxfId="124" dataCellStyle="Valuta"/>
    <tableColumn id="5" xr3:uid="{C2EA0D92-1299-4A7E-89E6-443A9A957EDC}" name="Lokalt aftalt tillæg_x000a_31/03-2000-niveau" dataDxfId="123" dataCellStyle="Valuta">
      <calculatedColumnFormula>10400/12</calculatedColumnFormula>
    </tableColumn>
    <tableColumn id="6" xr3:uid="{5318ABB1-D657-42C9-A19A-1D0A07F98D89}" name="Øvrige centrale tillæg_x000a_31/03-2000-niveau" dataDxfId="122" dataCellStyle="Valuta">
      <calculatedColumnFormula>4800/12</calculatedColumnFormula>
    </tableColumn>
    <tableColumn id="7" xr3:uid="{75759387-82C2-4678-954F-D4105653A1FC}" name="Øvrige tillæg_x000a_31/03-2000-niveau" dataDxfId="121" dataCellStyle="Valuta">
      <calculatedColumnFormula>13000/12</calculatedColumnFormula>
    </tableColumn>
    <tableColumn id="8" xr3:uid="{ACB993AF-1AD1-4435-8297-6FB11FF72966}" name="Samlet minimumsløn_x000a_Aktuelt niveau" dataDxfId="120">
      <calculatedColumnFormula>SUM(C23:G23)*(1+$G$1)</calculatedColumnFormula>
    </tableColumn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697BC79-9E00-43DA-947E-6BCBA0D9282C}" name="Tabel17" displayName="Tabel17" ref="A29:H45" totalsRowShown="0">
  <autoFilter ref="A29:H45" xr:uid="{7697BC79-9E00-43DA-947E-6BCBA0D9282C}"/>
  <tableColumns count="8">
    <tableColumn id="1" xr3:uid="{11432B58-9046-4A73-876C-5F4B5D411248}" name="31.01 Akademikere " dataDxfId="119"/>
    <tableColumn id="2" xr3:uid="{947D66B8-E54E-477F-B663-1623675B2FB2}" name="Løntrin" dataDxfId="118"/>
    <tableColumn id="3" xr3:uid="{8522750A-077A-4628-B54D-794644861D28}" name="Grundløn_x000a_31/03-2000-niveau" dataDxfId="117" dataCellStyle="Valuta"/>
    <tableColumn id="4" xr3:uid="{84B6319F-048E-4270-9A1B-4EC28478AEAC}" name="Grundlønstillæg_x000a_31/03-2000-niveau" dataDxfId="116" dataCellStyle="Valuta"/>
    <tableColumn id="5" xr3:uid="{7A5FBE1D-D5FD-4871-BA79-741DE0209679}" name="Lokalt aftalt tillæg_x000a_31/03-2000-niveau"/>
    <tableColumn id="6" xr3:uid="{A7C0607A-A1F5-425D-AD5D-12A359D1B6BF}" name="Øvrige centrale tillæg_x000a_31/03-2000-niveau" dataDxfId="115"/>
    <tableColumn id="7" xr3:uid="{30C835A1-CC83-4286-BE4D-91FAFDBEBF1F}" name="Øvrige tillæg_x000a_31/03-2000-niveau"/>
    <tableColumn id="8" xr3:uid="{ABAC4E40-FBAD-4735-8FFC-5862FBA36FD8}" name="Samlet minimumsløn_x000a_Aktuelt niveau" dataDxfId="114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50D3A11-88E5-4EE5-9546-34711F99C1F7}" name="Tabel18" displayName="Tabel18" ref="A47:H50" totalsRowShown="0">
  <autoFilter ref="A47:H50" xr:uid="{D50D3A11-88E5-4EE5-9546-34711F99C1F7}"/>
  <tableColumns count="8">
    <tableColumn id="1" xr3:uid="{685FE351-2C03-4267-A3D6-5BE13EFC90FB}" name="30.11 Administration og IT assistenter" dataDxfId="113"/>
    <tableColumn id="2" xr3:uid="{EC983F21-3D39-4461-9763-B17ED7616F4B}" name="Løntrin" dataDxfId="112"/>
    <tableColumn id="3" xr3:uid="{4B5E151D-4844-48A8-93D9-E4366F8BD472}" name="Grundløn_x000a_31/03-2000-niveau" dataDxfId="111" dataCellStyle="Valuta"/>
    <tableColumn id="4" xr3:uid="{90BD4B0F-3979-48A4-AB0A-33055207526F}" name="Grundlønstillæg_x000a_31/03-2000-niveau"/>
    <tableColumn id="5" xr3:uid="{1BCF0B33-50B9-49F9-9059-B279E2AB007A}" name="Lokalt aftalt tillæg_x000a_31/03-2000-niveau" dataDxfId="110">
      <calculatedColumnFormula>1400/12</calculatedColumnFormula>
    </tableColumn>
    <tableColumn id="6" xr3:uid="{C268B2F9-3344-4305-8C7E-23EE6594EAE2}" name="Øvrige centrale tillæg_x000a_31/03-2000-niveau"/>
    <tableColumn id="7" xr3:uid="{BFB1E5BB-5862-46AD-B3EB-00D6C19C830A}" name="Øvrige tillæg_x000a_31/03-2000-niveau"/>
    <tableColumn id="8" xr3:uid="{C5CBFC58-3A4F-4BDC-8F91-AF7176A80ED9}" name="Samlet minimumsløn_x000a_Aktuelt niveau" dataDxfId="109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E78CCD0-AD03-45DF-AB16-6CEAF764090D}" name="Tabel19" displayName="Tabel19" ref="A52:H54" totalsRowShown="0">
  <autoFilter ref="A52:H54" xr:uid="{3E78CCD0-AD03-45DF-AB16-6CEAF764090D}"/>
  <tableColumns count="8">
    <tableColumn id="1" xr3:uid="{1AFA72C2-EF16-42D4-AFA3-0453EDBFD4F1}" name="30.31 Socialrådgivere"/>
    <tableColumn id="2" xr3:uid="{C5609419-7E98-4C0D-8723-4D8E3429EF47}" name="Løntrin" dataDxfId="108"/>
    <tableColumn id="3" xr3:uid="{30FEF1D7-A20D-4092-9CF6-A63FDF11E89F}" name="Grundløn_x000a_31/03-2000-niveau" dataDxfId="107" dataCellStyle="Valuta">
      <calculatedColumnFormula>VLOOKUP(B53,Årlig_løn_grundbeløb[#All],4,FALSE)/12</calculatedColumnFormula>
    </tableColumn>
    <tableColumn id="4" xr3:uid="{67730F41-035C-4315-A46F-E30120AE6001}" name="Grundlønstillæg_x000a_31/03-2000-niveau"/>
    <tableColumn id="5" xr3:uid="{BE60DA53-741F-46EF-B44B-EC8BB5A37614}" name="Lokalt aftalt tillæg_x000a_31/03-2000-niveau"/>
    <tableColumn id="6" xr3:uid="{9D5047A8-6AEF-4CC7-90D0-A2B1CDDDF313}" name="Øvrige centrale tillæg_x000a_31/03-2000-niveau"/>
    <tableColumn id="7" xr3:uid="{D0C96988-65C8-4E15-85A3-BB08D624574D}" name="Øvrige tillæg_x000a_31/03-2000-niveau"/>
    <tableColumn id="8" xr3:uid="{C70BA426-937A-4729-87CD-DBF1447C988F}" name="Samlet minimumsløn_x000a_Aktuelt niveau" dataDxfId="106">
      <calculatedColumnFormula>SUM(C53:G53)*(1+$G$1)</calculatedColumnFormula>
    </tableColumn>
  </tableColumns>
  <tableStyleInfo name="TableStyleMedium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9B141F7-523F-4E29-8C31-409A26C5995B}" name="Tabel20" displayName="Tabel20" ref="A56:H58" totalsRowShown="0">
  <autoFilter ref="A56:H58" xr:uid="{39B141F7-523F-4E29-8C31-409A26C5995B}"/>
  <tableColumns count="8">
    <tableColumn id="1" xr3:uid="{9F114C98-FF50-4CD1-BD42-7E557920A2C3}" name="Social- og sundhedsområdet" dataDxfId="105"/>
    <tableColumn id="2" xr3:uid="{95C56A8E-888D-4BD0-BD14-CF5D36393D4B}" name="Løntrin" dataDxfId="104"/>
    <tableColumn id="3" xr3:uid="{3639D87F-4578-4C13-A6DD-2B7FD7F81848}" name="Grundløn_x000a_31/03-2000-niveau" dataDxfId="103" dataCellStyle="Valuta">
      <calculatedColumnFormula>VLOOKUP(B57,Årlig_løn_grundbeløb[#All],4,FALSE)/12</calculatedColumnFormula>
    </tableColumn>
    <tableColumn id="4" xr3:uid="{97B27688-5553-424A-B034-F05D1061C655}" name="Grundlønstillæg_x000a_31/03-2000-niveau"/>
    <tableColumn id="5" xr3:uid="{85415615-4CF0-47F2-91BC-628E32B700BF}" name="Lokalt aftalt tillæg_x000a_31/03-2000-niveau"/>
    <tableColumn id="6" xr3:uid="{E30AA888-60AA-4060-AF4B-8E9FF82823BB}" name="Øvrige centrale tillæg_x000a_31/03-2000-niveau"/>
    <tableColumn id="7" xr3:uid="{DE535911-F1B9-4380-888E-B05FF790783E}" name="Øvrige tillæg_x000a_31/03-2000-niveau"/>
    <tableColumn id="8" xr3:uid="{B5F6B139-2CF8-441B-B9B8-AB22DA722020}" name="Samlet minimumsløn_x000a_Aktuelt niveau" dataDxfId="102">
      <calculatedColumnFormula>SUM(C57:G57)*(1+$G$1)</calculatedColumnFormula>
    </tableColumn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BDA0914-EC51-4CF7-8FEE-391DCF8220C1}" name="Tabel21" displayName="Tabel21" ref="A63:H69" totalsRowShown="0">
  <autoFilter ref="A63:H69" xr:uid="{9BDA0914-EC51-4CF7-8FEE-391DCF8220C1}"/>
  <tableColumns count="8">
    <tableColumn id="1" xr3:uid="{0D87A373-B92F-450F-A4EF-3BA55C3865BE}" name="70.01 Sygeplejersker" dataDxfId="101"/>
    <tableColumn id="2" xr3:uid="{1BE5BE31-B482-4234-8B47-9BF7A40165E2}" name="Løntrin" dataDxfId="100"/>
    <tableColumn id="3" xr3:uid="{6E683B86-2E77-4984-9D82-F5A8A7DD6B0D}" name="Grundløn_x000a_01/01-2006 niveau" dataDxfId="99" dataCellStyle="Valuta"/>
    <tableColumn id="4" xr3:uid="{2437E170-3A5F-4FE2-97B3-A4617D04DD86}" name="Grundlønstillæg_x000a_01/01-2006 niveau"/>
    <tableColumn id="5" xr3:uid="{255888FA-0B8F-4BC0-8518-B718D0A5F0F9}" name="Lokalt aftalt tillæg_x000a_01/01-2006 niveau"/>
    <tableColumn id="6" xr3:uid="{D397BB71-B0E0-49EA-A46A-1BF000CBA549}" name="Øvrige centrale tillæg_x000a_01/01-2006 niveau"/>
    <tableColumn id="7" xr3:uid="{A96AAAD5-A1C3-4380-9B8C-602EC33790D0}" name="Øvrige tillæg_x000a_01/01-2006 niveau"/>
    <tableColumn id="8" xr3:uid="{FE179A1A-0B42-4E7D-A59F-8226E0071588}" name="Samlet minimumsløn_x000a_Aktuelt niveau" dataDxfId="98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13" Type="http://schemas.openxmlformats.org/officeDocument/2006/relationships/table" Target="../tables/table21.xml"/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12" Type="http://schemas.openxmlformats.org/officeDocument/2006/relationships/table" Target="../tables/table20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4.xml"/><Relationship Id="rId11" Type="http://schemas.openxmlformats.org/officeDocument/2006/relationships/table" Target="../tables/table19.xml"/><Relationship Id="rId5" Type="http://schemas.openxmlformats.org/officeDocument/2006/relationships/table" Target="../tables/table13.xml"/><Relationship Id="rId10" Type="http://schemas.openxmlformats.org/officeDocument/2006/relationships/table" Target="../tables/table18.xml"/><Relationship Id="rId4" Type="http://schemas.openxmlformats.org/officeDocument/2006/relationships/table" Target="../tables/table12.xml"/><Relationship Id="rId9" Type="http://schemas.openxmlformats.org/officeDocument/2006/relationships/table" Target="../tables/table1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table" Target="../tables/table22.xml"/><Relationship Id="rId4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B3DA-29E6-4167-B011-0127ECD5BB91}">
  <dimension ref="A1:K69"/>
  <sheetViews>
    <sheetView zoomScaleNormal="100" workbookViewId="0">
      <selection activeCell="I3" sqref="I3"/>
    </sheetView>
  </sheetViews>
  <sheetFormatPr defaultRowHeight="15" x14ac:dyDescent="0.25"/>
  <cols>
    <col min="1" max="1" width="47.42578125" customWidth="1"/>
    <col min="2" max="2" width="11.42578125" customWidth="1"/>
    <col min="3" max="3" width="23.42578125" customWidth="1"/>
    <col min="4" max="4" width="23.7109375" customWidth="1"/>
    <col min="5" max="5" width="23.140625" customWidth="1"/>
    <col min="6" max="6" width="21.5703125" customWidth="1"/>
    <col min="7" max="7" width="18.42578125" customWidth="1"/>
    <col min="8" max="8" width="28.42578125" customWidth="1"/>
  </cols>
  <sheetData>
    <row r="1" spans="1:8" ht="24" x14ac:dyDescent="0.4">
      <c r="A1" s="21" t="s">
        <v>0</v>
      </c>
      <c r="E1" s="78" t="s">
        <v>1</v>
      </c>
      <c r="F1" s="80"/>
      <c r="G1" s="23">
        <v>0.65337800000000001</v>
      </c>
      <c r="H1" s="39" t="s">
        <v>2</v>
      </c>
    </row>
    <row r="2" spans="1:8" ht="15.75" x14ac:dyDescent="0.25">
      <c r="A2" s="17" t="s">
        <v>3</v>
      </c>
      <c r="B2" s="18" t="s">
        <v>4</v>
      </c>
      <c r="C2" s="16"/>
      <c r="D2" s="16"/>
      <c r="E2" s="81" t="s">
        <v>5</v>
      </c>
      <c r="F2" s="82"/>
      <c r="G2" s="24">
        <v>0.45015500000000003</v>
      </c>
      <c r="H2" s="40" t="s">
        <v>2</v>
      </c>
    </row>
    <row r="3" spans="1:8" ht="34.5" customHeight="1" thickBot="1" x14ac:dyDescent="0.3">
      <c r="A3" s="15" t="s">
        <v>6</v>
      </c>
      <c r="B3" s="20" t="s">
        <v>7</v>
      </c>
      <c r="C3" s="19" t="s">
        <v>8</v>
      </c>
      <c r="D3" s="19" t="s">
        <v>9</v>
      </c>
      <c r="E3" s="19" t="s">
        <v>10</v>
      </c>
      <c r="F3" s="79" t="s">
        <v>11</v>
      </c>
      <c r="G3" s="79"/>
      <c r="H3" s="41" t="s">
        <v>12</v>
      </c>
    </row>
    <row r="4" spans="1:8" x14ac:dyDescent="0.25">
      <c r="F4" s="33"/>
    </row>
    <row r="5" spans="1:8" ht="39" customHeight="1" x14ac:dyDescent="0.25">
      <c r="A5" s="27" t="s">
        <v>13</v>
      </c>
      <c r="B5" s="34" t="s">
        <v>7</v>
      </c>
      <c r="C5" s="35" t="s">
        <v>14</v>
      </c>
      <c r="D5" s="35" t="s">
        <v>15</v>
      </c>
      <c r="E5" s="35" t="s">
        <v>16</v>
      </c>
      <c r="F5" s="35" t="s">
        <v>17</v>
      </c>
      <c r="G5" s="35" t="s">
        <v>18</v>
      </c>
      <c r="H5" s="35" t="s">
        <v>19</v>
      </c>
    </row>
    <row r="6" spans="1:8" x14ac:dyDescent="0.25">
      <c r="A6" s="12" t="s">
        <v>20</v>
      </c>
      <c r="B6" s="13">
        <v>26</v>
      </c>
      <c r="C6" s="4">
        <f>VLOOKUP(B6,Årlig_løn_grundbeløb[#All],4,FALSE)/12</f>
        <v>18338.583333333332</v>
      </c>
      <c r="D6" s="4">
        <f>14682/12</f>
        <v>1223.5</v>
      </c>
      <c r="E6" s="4"/>
      <c r="F6" s="4"/>
      <c r="H6" s="22">
        <f>SUM(C6:G6)*(1+$G$1)</f>
        <v>32343.518217499997</v>
      </c>
    </row>
    <row r="7" spans="1:8" x14ac:dyDescent="0.25">
      <c r="A7" s="12" t="s">
        <v>21</v>
      </c>
      <c r="B7" s="13">
        <v>30</v>
      </c>
      <c r="C7" s="4">
        <f>VLOOKUP(B7,Årlig_løn_grundbeløb[#All],4,FALSE)/12</f>
        <v>19588.75</v>
      </c>
      <c r="D7" s="4">
        <f t="shared" ref="D7:D8" si="0">14682/12</f>
        <v>1223.5</v>
      </c>
      <c r="E7" s="4"/>
      <c r="F7" s="4"/>
      <c r="H7" s="22">
        <f>SUM(C7:G7)*(1+$G$1)</f>
        <v>34410.5162805</v>
      </c>
    </row>
    <row r="8" spans="1:8" x14ac:dyDescent="0.25">
      <c r="A8" s="12" t="s">
        <v>22</v>
      </c>
      <c r="B8" s="13">
        <v>35</v>
      </c>
      <c r="C8" s="4">
        <f>VLOOKUP(B8,Årlig_løn_grundbeløb[#All],4,FALSE)/12</f>
        <v>21314.333333333332</v>
      </c>
      <c r="D8" s="4">
        <f t="shared" si="0"/>
        <v>1223.5</v>
      </c>
      <c r="E8" s="4"/>
      <c r="F8" s="4"/>
      <c r="H8" s="22">
        <f>SUM(C8:G8)*(1+$G$1)</f>
        <v>37263.557800999995</v>
      </c>
    </row>
    <row r="9" spans="1:8" x14ac:dyDescent="0.25">
      <c r="B9" s="13"/>
      <c r="C9" s="4"/>
    </row>
    <row r="10" spans="1:8" ht="39" customHeight="1" x14ac:dyDescent="0.25">
      <c r="A10" s="27" t="s">
        <v>23</v>
      </c>
      <c r="B10" s="34" t="s">
        <v>7</v>
      </c>
      <c r="C10" s="35" t="s">
        <v>14</v>
      </c>
      <c r="D10" s="35" t="s">
        <v>15</v>
      </c>
      <c r="E10" s="35" t="s">
        <v>16</v>
      </c>
      <c r="F10" s="35" t="s">
        <v>17</v>
      </c>
      <c r="G10" s="35" t="s">
        <v>18</v>
      </c>
      <c r="H10" s="35" t="s">
        <v>19</v>
      </c>
    </row>
    <row r="11" spans="1:8" x14ac:dyDescent="0.25">
      <c r="A11" s="12" t="s">
        <v>20</v>
      </c>
      <c r="B11" s="13">
        <v>13</v>
      </c>
      <c r="C11" s="4">
        <f>VLOOKUP(B11,Årlig_løn_grundbeløb[#All],4,FALSE)/12</f>
        <v>15115.333333333334</v>
      </c>
      <c r="D11" s="4">
        <f>3272/12</f>
        <v>272.66666666666669</v>
      </c>
      <c r="E11" s="4"/>
      <c r="F11" s="4"/>
      <c r="H11" s="22">
        <f>SUM(C11:G11)*(1+$G$1)</f>
        <v>25442.180664</v>
      </c>
    </row>
    <row r="12" spans="1:8" x14ac:dyDescent="0.25">
      <c r="A12" s="12" t="s">
        <v>24</v>
      </c>
      <c r="B12" s="13">
        <v>16</v>
      </c>
      <c r="C12" s="4">
        <f>VLOOKUP(B12,Årlig_løn_grundbeløb[#All],4,FALSE)/12</f>
        <v>15792.5</v>
      </c>
      <c r="D12" s="4">
        <f t="shared" ref="D12:D14" si="1">3272/12</f>
        <v>272.66666666666669</v>
      </c>
      <c r="E12" s="4"/>
      <c r="F12" s="4"/>
      <c r="H12" s="22">
        <f>SUM(C12:G12)*(1+$G$1)</f>
        <v>26561.793132999999</v>
      </c>
    </row>
    <row r="13" spans="1:8" x14ac:dyDescent="0.25">
      <c r="A13" s="12" t="s">
        <v>25</v>
      </c>
      <c r="B13" s="13">
        <v>17</v>
      </c>
      <c r="C13" s="4">
        <f>VLOOKUP(B13,Årlig_løn_grundbeløb[#All],4,FALSE)/12</f>
        <v>16011.75</v>
      </c>
      <c r="D13" s="4">
        <f t="shared" si="1"/>
        <v>272.66666666666669</v>
      </c>
      <c r="E13" s="4"/>
      <c r="F13" s="4"/>
      <c r="H13" s="22">
        <f>SUM(C13:G13)*(1+$G$1)</f>
        <v>26924.296259499999</v>
      </c>
    </row>
    <row r="14" spans="1:8" x14ac:dyDescent="0.25">
      <c r="A14" s="12" t="s">
        <v>26</v>
      </c>
      <c r="B14" s="13">
        <v>20</v>
      </c>
      <c r="C14" s="4">
        <f>VLOOKUP(B14,Årlig_løn_grundbeløb[#All],4,FALSE)/12</f>
        <v>16718.5</v>
      </c>
      <c r="D14" s="4">
        <f t="shared" si="1"/>
        <v>272.66666666666669</v>
      </c>
      <c r="E14" s="4"/>
      <c r="F14" s="4"/>
      <c r="H14" s="22">
        <f>SUM(C14:G14)*(1+$G$1)</f>
        <v>28092.821161000003</v>
      </c>
    </row>
    <row r="15" spans="1:8" x14ac:dyDescent="0.25">
      <c r="B15" s="13"/>
      <c r="C15" s="4"/>
      <c r="D15" s="4"/>
      <c r="H15" s="22"/>
    </row>
    <row r="16" spans="1:8" ht="39" customHeight="1" x14ac:dyDescent="0.25">
      <c r="A16" s="27" t="s">
        <v>27</v>
      </c>
      <c r="B16" s="34" t="s">
        <v>7</v>
      </c>
      <c r="C16" s="35" t="s">
        <v>14</v>
      </c>
      <c r="D16" s="35" t="s">
        <v>15</v>
      </c>
      <c r="E16" s="35" t="s">
        <v>16</v>
      </c>
      <c r="F16" s="35" t="s">
        <v>17</v>
      </c>
      <c r="G16" s="35" t="s">
        <v>18</v>
      </c>
      <c r="H16" s="35" t="s">
        <v>19</v>
      </c>
    </row>
    <row r="17" spans="1:8" x14ac:dyDescent="0.25">
      <c r="A17" s="12" t="s">
        <v>20</v>
      </c>
      <c r="B17" s="13">
        <v>20</v>
      </c>
      <c r="C17" s="4">
        <f>VLOOKUP(B17,Årlig_løn_grundbeløb[#All],4,FALSE)/12</f>
        <v>16718.5</v>
      </c>
      <c r="D17" s="4">
        <f>3200/12</f>
        <v>266.66666666666669</v>
      </c>
      <c r="E17" s="4"/>
      <c r="F17" s="4"/>
      <c r="H17" s="22">
        <f>SUM(C17:G17)*(1+$G$1)</f>
        <v>28082.900893000002</v>
      </c>
    </row>
    <row r="18" spans="1:8" x14ac:dyDescent="0.25">
      <c r="A18" s="12" t="s">
        <v>28</v>
      </c>
      <c r="B18" s="13">
        <v>22</v>
      </c>
      <c r="C18" s="4">
        <f>VLOOKUP(B18,Årlig_løn_grundbeløb[#All],4,FALSE)/12</f>
        <v>17196.833333333332</v>
      </c>
      <c r="D18" s="4">
        <f>4600/12</f>
        <v>383.33333333333331</v>
      </c>
      <c r="E18" s="4"/>
      <c r="F18" s="4"/>
      <c r="H18" s="22">
        <f>SUM(C18:G18)*(1+$G$1)</f>
        <v>29066.660802999995</v>
      </c>
    </row>
    <row r="19" spans="1:8" x14ac:dyDescent="0.25">
      <c r="A19" s="12" t="s">
        <v>29</v>
      </c>
      <c r="B19" s="13">
        <v>25</v>
      </c>
      <c r="C19" s="4">
        <f>VLOOKUP(B19,Årlig_løn_grundbeløb[#All],4,FALSE)/12</f>
        <v>18043</v>
      </c>
      <c r="D19" s="4">
        <f t="shared" ref="D19:D20" si="2">4600/12</f>
        <v>383.33333333333331</v>
      </c>
      <c r="E19" s="4"/>
      <c r="F19" s="4"/>
      <c r="H19" s="22">
        <f>SUM(C19:G19)*(1+$G$1)</f>
        <v>30465.694153999997</v>
      </c>
    </row>
    <row r="20" spans="1:8" x14ac:dyDescent="0.25">
      <c r="A20" s="12" t="s">
        <v>30</v>
      </c>
      <c r="B20" s="13">
        <v>26</v>
      </c>
      <c r="C20" s="4">
        <f>VLOOKUP(B20,Årlig_løn_grundbeløb[#All],4,FALSE)/12</f>
        <v>18338.583333333332</v>
      </c>
      <c r="D20" s="4">
        <f t="shared" si="2"/>
        <v>383.33333333333331</v>
      </c>
      <c r="E20" s="4"/>
      <c r="F20" s="4"/>
      <c r="H20" s="22">
        <f>SUM(C20:G20)*(1+$G$1)</f>
        <v>30954.405134499997</v>
      </c>
    </row>
    <row r="21" spans="1:8" x14ac:dyDescent="0.25">
      <c r="B21" s="13"/>
      <c r="C21" s="4"/>
      <c r="D21" s="4"/>
      <c r="E21" s="4"/>
      <c r="F21" s="4"/>
      <c r="H21" s="22"/>
    </row>
    <row r="22" spans="1:8" ht="39" customHeight="1" x14ac:dyDescent="0.25">
      <c r="A22" s="27" t="s">
        <v>31</v>
      </c>
      <c r="B22" s="34" t="s">
        <v>7</v>
      </c>
      <c r="C22" s="35" t="s">
        <v>14</v>
      </c>
      <c r="D22" s="35" t="s">
        <v>15</v>
      </c>
      <c r="E22" s="35" t="s">
        <v>16</v>
      </c>
      <c r="F22" s="35" t="s">
        <v>17</v>
      </c>
      <c r="G22" s="35" t="s">
        <v>18</v>
      </c>
      <c r="H22" s="35" t="s">
        <v>19</v>
      </c>
    </row>
    <row r="23" spans="1:8" x14ac:dyDescent="0.25">
      <c r="B23" s="13"/>
      <c r="C23" s="4"/>
      <c r="D23" s="4"/>
      <c r="E23" s="11" t="s">
        <v>32</v>
      </c>
      <c r="F23" s="11" t="s">
        <v>33</v>
      </c>
      <c r="G23" s="11" t="s">
        <v>34</v>
      </c>
      <c r="H23" s="22"/>
    </row>
    <row r="24" spans="1:8" x14ac:dyDescent="0.25">
      <c r="A24" s="12" t="s">
        <v>20</v>
      </c>
      <c r="B24" s="13">
        <v>31</v>
      </c>
      <c r="C24" s="4">
        <f>VLOOKUP(B24,Årlig_løn_grundbeløb[#All],4,FALSE)/12</f>
        <v>19918.916666666668</v>
      </c>
      <c r="D24" s="4">
        <f>3000/12</f>
        <v>250</v>
      </c>
      <c r="E24" s="4">
        <f>10400/12</f>
        <v>866.66666666666663</v>
      </c>
      <c r="F24" s="4">
        <f>4800/12</f>
        <v>400</v>
      </c>
      <c r="G24" s="4">
        <f>13000/12</f>
        <v>1083.3333333333333</v>
      </c>
      <c r="H24" s="22">
        <f>SUM(C24:G24)*(1+$G$1)</f>
        <v>37232.281400500004</v>
      </c>
    </row>
    <row r="25" spans="1:8" x14ac:dyDescent="0.25">
      <c r="A25" s="12" t="s">
        <v>35</v>
      </c>
      <c r="B25" s="13">
        <v>35</v>
      </c>
      <c r="C25" s="4">
        <f>VLOOKUP(B25,Årlig_løn_grundbeløb[#All],4,FALSE)/12</f>
        <v>21314.333333333332</v>
      </c>
      <c r="D25" s="4">
        <f t="shared" ref="D25" si="3">3000/12</f>
        <v>250</v>
      </c>
      <c r="E25" s="4">
        <f t="shared" ref="E25:E27" si="4">10400/12</f>
        <v>866.66666666666663</v>
      </c>
      <c r="F25" s="4">
        <f t="shared" ref="F25:F27" si="5">4800/12</f>
        <v>400</v>
      </c>
      <c r="G25" s="4">
        <f t="shared" ref="G25:G27" si="6">13000/12</f>
        <v>1083.3333333333333</v>
      </c>
      <c r="H25" s="22">
        <f>SUM(C25:G25)*(1+$G$1)</f>
        <v>39539.432617999999</v>
      </c>
    </row>
    <row r="26" spans="1:8" x14ac:dyDescent="0.25">
      <c r="A26" s="12" t="s">
        <v>30</v>
      </c>
      <c r="B26" s="13">
        <v>40</v>
      </c>
      <c r="C26" s="4">
        <f>VLOOKUP(B26,Årlig_løn_grundbeløb[#All],4,FALSE)/12</f>
        <v>23270.583333333332</v>
      </c>
      <c r="D26" s="4"/>
      <c r="E26" s="4">
        <f t="shared" si="4"/>
        <v>866.66666666666663</v>
      </c>
      <c r="F26" s="4">
        <f t="shared" si="5"/>
        <v>400</v>
      </c>
      <c r="G26" s="4">
        <f t="shared" si="6"/>
        <v>1083.3333333333333</v>
      </c>
      <c r="H26" s="22">
        <f>SUM(C26:G26)*(1+$G$1)</f>
        <v>42360.508830499995</v>
      </c>
    </row>
    <row r="27" spans="1:8" x14ac:dyDescent="0.25">
      <c r="A27" s="12" t="s">
        <v>36</v>
      </c>
      <c r="B27" s="13">
        <v>40</v>
      </c>
      <c r="C27" s="4">
        <f>VLOOKUP(B27,Årlig_løn_grundbeløb[#All],4,FALSE)/12</f>
        <v>23270.583333333332</v>
      </c>
      <c r="D27" s="4">
        <f>10000/12</f>
        <v>833.33333333333337</v>
      </c>
      <c r="E27" s="4">
        <f t="shared" si="4"/>
        <v>866.66666666666663</v>
      </c>
      <c r="F27" s="4">
        <f t="shared" si="5"/>
        <v>400</v>
      </c>
      <c r="G27" s="4">
        <f t="shared" si="6"/>
        <v>1083.3333333333333</v>
      </c>
      <c r="H27" s="22">
        <f>SUM(C27:G27)*(1+$G$1)</f>
        <v>43738.323830499998</v>
      </c>
    </row>
    <row r="29" spans="1:8" ht="39" customHeight="1" x14ac:dyDescent="0.25">
      <c r="A29" s="27" t="s">
        <v>37</v>
      </c>
      <c r="B29" s="34" t="s">
        <v>7</v>
      </c>
      <c r="C29" s="35" t="s">
        <v>14</v>
      </c>
      <c r="D29" s="35" t="s">
        <v>15</v>
      </c>
      <c r="E29" s="35" t="s">
        <v>16</v>
      </c>
      <c r="F29" s="35" t="s">
        <v>17</v>
      </c>
      <c r="G29" s="35" t="s">
        <v>18</v>
      </c>
      <c r="H29" s="35" t="s">
        <v>19</v>
      </c>
    </row>
    <row r="30" spans="1:8" x14ac:dyDescent="0.25">
      <c r="A30" s="36" t="s">
        <v>38</v>
      </c>
      <c r="C30" s="4"/>
      <c r="D30" s="4"/>
      <c r="H30" s="22"/>
    </row>
    <row r="31" spans="1:8" x14ac:dyDescent="0.25">
      <c r="A31" s="37" t="s">
        <v>39</v>
      </c>
      <c r="B31" s="38" t="s">
        <v>7</v>
      </c>
      <c r="F31" s="11" t="s">
        <v>40</v>
      </c>
      <c r="H31" s="22"/>
    </row>
    <row r="32" spans="1:8" x14ac:dyDescent="0.25">
      <c r="A32" s="13">
        <v>1</v>
      </c>
      <c r="B32" s="13">
        <v>1</v>
      </c>
      <c r="C32" s="4">
        <f>VLOOKUP(B32,AC_grundløn[#All],2,FALSE)/12</f>
        <v>17052.166666666668</v>
      </c>
      <c r="D32" s="4"/>
      <c r="F32" s="2">
        <f>VLOOKUP(A32,AC_rådighedstillæg[#All],2,FALSE)/12</f>
        <v>2398.9191666666666</v>
      </c>
      <c r="H32" s="22">
        <f t="shared" ref="H32:H37" si="7">SUM(C32:G32)*(1+$G$1)</f>
        <v>32159.997392945003</v>
      </c>
    </row>
    <row r="33" spans="1:8" x14ac:dyDescent="0.25">
      <c r="A33" s="13">
        <v>2</v>
      </c>
      <c r="B33" s="13">
        <v>2</v>
      </c>
      <c r="C33" s="4">
        <f>VLOOKUP(B33,AC_grundløn[#All],2,FALSE)/12</f>
        <v>17791</v>
      </c>
      <c r="D33" s="4"/>
      <c r="F33" s="2">
        <f>VLOOKUP(A33,AC_rådighedstillæg[#All],2,FALSE)/12</f>
        <v>2398.9191666666666</v>
      </c>
      <c r="H33" s="22">
        <f t="shared" si="7"/>
        <v>33381.568171945</v>
      </c>
    </row>
    <row r="34" spans="1:8" x14ac:dyDescent="0.25">
      <c r="A34" s="13">
        <v>3</v>
      </c>
      <c r="B34" s="13">
        <v>4</v>
      </c>
      <c r="C34" s="4">
        <f>VLOOKUP(B34,AC_grundløn[#All],2,FALSE)/12</f>
        <v>19598.75</v>
      </c>
      <c r="D34" s="4"/>
      <c r="F34" s="2" t="e">
        <f>VLOOKUP(A34,AC_rådighedstillæg[#All],2,FALSE)/12</f>
        <v>#N/A</v>
      </c>
      <c r="H34" s="22" t="e">
        <f t="shared" si="7"/>
        <v>#N/A</v>
      </c>
    </row>
    <row r="35" spans="1:8" x14ac:dyDescent="0.25">
      <c r="A35" s="13">
        <v>4</v>
      </c>
      <c r="B35" s="13">
        <v>4</v>
      </c>
      <c r="C35" s="4">
        <f>VLOOKUP(B35,AC_grundløn[#All],2,FALSE)/12</f>
        <v>19598.75</v>
      </c>
      <c r="D35" s="4"/>
      <c r="F35" s="2">
        <f>VLOOKUP(A35,AC_rådighedstillæg[#All],2,FALSE)/12</f>
        <v>2748.4300000000003</v>
      </c>
      <c r="H35" s="22">
        <f t="shared" si="7"/>
        <v>36948.335774040002</v>
      </c>
    </row>
    <row r="36" spans="1:8" x14ac:dyDescent="0.25">
      <c r="A36" s="13">
        <v>5</v>
      </c>
      <c r="B36" s="13">
        <v>5</v>
      </c>
      <c r="C36" s="4">
        <f>VLOOKUP(B36,AC_grundløn[#All],2,FALSE)/12</f>
        <v>20873.583333333332</v>
      </c>
      <c r="D36" s="4"/>
      <c r="F36" s="2">
        <f>VLOOKUP(A36,AC_rådighedstillæg[#All],2,FALSE)/12</f>
        <v>2748.4300000000003</v>
      </c>
      <c r="H36" s="22">
        <f t="shared" si="7"/>
        <v>39056.117161039998</v>
      </c>
    </row>
    <row r="37" spans="1:8" x14ac:dyDescent="0.25">
      <c r="A37" s="13">
        <v>6</v>
      </c>
      <c r="B37" s="13">
        <v>6</v>
      </c>
      <c r="C37" s="4">
        <f>VLOOKUP(B37,AC_grundløn[#All],2,FALSE)/12</f>
        <v>21928.25</v>
      </c>
      <c r="D37" s="4"/>
      <c r="F37" s="2">
        <f>VLOOKUP(A37,AC_rådighedstillæg[#All],2,FALSE)/12</f>
        <v>3137.6591666666668</v>
      </c>
      <c r="H37" s="22">
        <f t="shared" si="7"/>
        <v>41443.422766165</v>
      </c>
    </row>
    <row r="38" spans="1:8" x14ac:dyDescent="0.25">
      <c r="A38" s="36" t="s">
        <v>41</v>
      </c>
      <c r="B38" s="13"/>
      <c r="C38" s="4"/>
      <c r="F38" s="2"/>
      <c r="H38" s="22"/>
    </row>
    <row r="39" spans="1:8" x14ac:dyDescent="0.25">
      <c r="A39" s="37" t="s">
        <v>39</v>
      </c>
      <c r="B39" s="38" t="s">
        <v>7</v>
      </c>
      <c r="C39" s="4"/>
      <c r="F39" s="11" t="s">
        <v>40</v>
      </c>
      <c r="H39" s="22"/>
    </row>
    <row r="40" spans="1:8" x14ac:dyDescent="0.25">
      <c r="A40" s="13">
        <v>1</v>
      </c>
      <c r="B40" s="13">
        <v>4</v>
      </c>
      <c r="C40" s="4">
        <f>VLOOKUP(B40,AC_grundløn[#All],2,FALSE)/12</f>
        <v>19598.75</v>
      </c>
      <c r="D40" s="4"/>
      <c r="F40" s="2">
        <f>VLOOKUP(A40,AC_rådighedstillæg[#All],2,FALSE)/12</f>
        <v>2398.9191666666666</v>
      </c>
      <c r="H40" s="22">
        <f t="shared" ref="H40:H45" si="8">SUM(C40:G40)*(1+$G$1)</f>
        <v>36370.462251445002</v>
      </c>
    </row>
    <row r="41" spans="1:8" x14ac:dyDescent="0.25">
      <c r="A41" s="13">
        <v>2</v>
      </c>
      <c r="B41" s="13">
        <v>4</v>
      </c>
      <c r="C41" s="4">
        <f>VLOOKUP(B41,AC_grundløn[#All],2,FALSE)/12</f>
        <v>19598.75</v>
      </c>
      <c r="D41" s="4"/>
      <c r="F41" s="2">
        <f>VLOOKUP(A41,AC_rådighedstillæg[#All],2,FALSE)/12</f>
        <v>2398.9191666666666</v>
      </c>
      <c r="H41" s="22">
        <f t="shared" si="8"/>
        <v>36370.462251445002</v>
      </c>
    </row>
    <row r="42" spans="1:8" x14ac:dyDescent="0.25">
      <c r="A42" s="13">
        <v>3</v>
      </c>
      <c r="B42" s="13">
        <v>5</v>
      </c>
      <c r="C42" s="4">
        <f>VLOOKUP(B42,AC_grundløn[#All],2,FALSE)/12</f>
        <v>20873.583333333332</v>
      </c>
      <c r="D42" s="4"/>
      <c r="F42" s="2" t="e">
        <f>VLOOKUP(A42,AC_rådighedstillæg[#All],2,FALSE)/12</f>
        <v>#N/A</v>
      </c>
      <c r="H42" s="22" t="e">
        <f t="shared" si="8"/>
        <v>#N/A</v>
      </c>
    </row>
    <row r="43" spans="1:8" x14ac:dyDescent="0.25">
      <c r="A43" s="13">
        <v>4</v>
      </c>
      <c r="B43" s="13">
        <v>6</v>
      </c>
      <c r="C43" s="4">
        <f>VLOOKUP(B43,AC_grundløn[#All],2,FALSE)/12</f>
        <v>21928.25</v>
      </c>
      <c r="D43" s="4"/>
      <c r="F43" s="2">
        <f>VLOOKUP(A43,AC_rådighedstillæg[#All],2,FALSE)/12</f>
        <v>2748.4300000000003</v>
      </c>
      <c r="H43" s="22">
        <f t="shared" si="8"/>
        <v>40799.87982504</v>
      </c>
    </row>
    <row r="44" spans="1:8" x14ac:dyDescent="0.25">
      <c r="A44" s="13">
        <v>5</v>
      </c>
      <c r="B44" s="13">
        <v>7</v>
      </c>
      <c r="C44" s="4">
        <f>VLOOKUP(B44,AC_grundløn[#All],2,FALSE)/12</f>
        <v>22522</v>
      </c>
      <c r="D44" s="4"/>
      <c r="F44" s="2">
        <f>VLOOKUP(A44,AC_rådighedstillæg[#All],2,FALSE)/12</f>
        <v>2748.4300000000003</v>
      </c>
      <c r="H44" s="22">
        <f t="shared" si="8"/>
        <v>41781.57301254</v>
      </c>
    </row>
    <row r="45" spans="1:8" x14ac:dyDescent="0.25">
      <c r="A45" s="13">
        <v>6</v>
      </c>
      <c r="B45" s="13">
        <v>8</v>
      </c>
      <c r="C45" s="4">
        <f>VLOOKUP(B45,AC_grundløn[#All],2,FALSE)/12</f>
        <v>24044.916666666668</v>
      </c>
      <c r="D45" s="4"/>
      <c r="F45" s="2">
        <f>VLOOKUP(A45,AC_rådighedstillæg[#All],2,FALSE)/12</f>
        <v>3137.6591666666668</v>
      </c>
      <c r="H45" s="22">
        <f t="shared" si="8"/>
        <v>44943.072866165006</v>
      </c>
    </row>
    <row r="47" spans="1:8" ht="39" customHeight="1" x14ac:dyDescent="0.25">
      <c r="A47" s="27" t="s">
        <v>42</v>
      </c>
      <c r="B47" s="34" t="s">
        <v>7</v>
      </c>
      <c r="C47" s="35" t="s">
        <v>14</v>
      </c>
      <c r="D47" s="35" t="s">
        <v>15</v>
      </c>
      <c r="E47" s="35" t="s">
        <v>16</v>
      </c>
      <c r="F47" s="35" t="s">
        <v>17</v>
      </c>
      <c r="G47" s="35" t="s">
        <v>18</v>
      </c>
      <c r="H47" s="35" t="s">
        <v>19</v>
      </c>
    </row>
    <row r="48" spans="1:8" x14ac:dyDescent="0.25">
      <c r="A48" s="12" t="s">
        <v>43</v>
      </c>
      <c r="B48" s="13">
        <v>14</v>
      </c>
      <c r="C48" s="4">
        <f>VLOOKUP(B48,Årlig_løn_grundbeløb[#All],4,FALSE)/12</f>
        <v>15376.416666666666</v>
      </c>
      <c r="E48" s="4">
        <f t="shared" ref="E48" si="9">1400/12</f>
        <v>116.66666666666667</v>
      </c>
      <c r="H48" s="22">
        <f>SUM(C48:G48)*(1+$G$1)</f>
        <v>25615.923135499997</v>
      </c>
    </row>
    <row r="49" spans="1:8" x14ac:dyDescent="0.25">
      <c r="A49" s="12" t="s">
        <v>44</v>
      </c>
      <c r="B49" s="13">
        <v>23</v>
      </c>
      <c r="C49" s="4">
        <f>VLOOKUP(B49,Årlig_løn_grundbeløb[#All],4,FALSE)/12</f>
        <v>17471.083333333332</v>
      </c>
      <c r="E49" s="5"/>
      <c r="H49" s="22">
        <f>SUM(C49:G49)*(1+$G$1)</f>
        <v>28886.304819499997</v>
      </c>
    </row>
    <row r="50" spans="1:8" x14ac:dyDescent="0.25">
      <c r="A50" s="12" t="s">
        <v>45</v>
      </c>
      <c r="B50" s="13">
        <v>33</v>
      </c>
      <c r="C50" s="4">
        <f>VLOOKUP(B50,Årlig_løn_grundbeløb[#All],4,FALSE)/12</f>
        <v>20601.25</v>
      </c>
      <c r="E50" s="5"/>
      <c r="H50" s="22">
        <f>SUM(C50:G50)*(1+$G$1)</f>
        <v>34061.653522499997</v>
      </c>
    </row>
    <row r="52" spans="1:8" ht="39" customHeight="1" x14ac:dyDescent="0.25">
      <c r="A52" s="27" t="s">
        <v>46</v>
      </c>
      <c r="B52" s="34" t="s">
        <v>7</v>
      </c>
      <c r="C52" s="35" t="s">
        <v>14</v>
      </c>
      <c r="D52" s="35" t="s">
        <v>15</v>
      </c>
      <c r="E52" s="35" t="s">
        <v>16</v>
      </c>
      <c r="F52" s="35" t="s">
        <v>17</v>
      </c>
      <c r="G52" s="35" t="s">
        <v>18</v>
      </c>
      <c r="H52" s="35" t="s">
        <v>19</v>
      </c>
    </row>
    <row r="53" spans="1:8" x14ac:dyDescent="0.25">
      <c r="A53" s="12" t="s">
        <v>47</v>
      </c>
      <c r="B53" s="13">
        <v>34</v>
      </c>
      <c r="C53" s="4">
        <f>VLOOKUP(B53,Årlig_løn_grundbeløb[#All],4,FALSE)/12</f>
        <v>20954.083333333332</v>
      </c>
      <c r="H53" s="22">
        <f>SUM(C53:G53)*(1+$G$1)</f>
        <v>34645.020393499995</v>
      </c>
    </row>
    <row r="54" spans="1:8" x14ac:dyDescent="0.25">
      <c r="A54" s="12" t="s">
        <v>48</v>
      </c>
      <c r="B54" s="13">
        <v>37</v>
      </c>
      <c r="C54" s="4">
        <f>VLOOKUP(B54,Årlig_løn_grundbeløb[#All],4,FALSE)/12</f>
        <v>22059.333333333332</v>
      </c>
      <c r="H54" s="22">
        <f>SUM(C54:G54)*(1+$G$1)</f>
        <v>36472.416427999997</v>
      </c>
    </row>
    <row r="55" spans="1:8" x14ac:dyDescent="0.25">
      <c r="B55" s="13"/>
      <c r="C55" s="4"/>
      <c r="H55" s="22"/>
    </row>
    <row r="56" spans="1:8" ht="39" customHeight="1" x14ac:dyDescent="0.25">
      <c r="A56" s="27" t="s">
        <v>49</v>
      </c>
      <c r="B56" s="34" t="s">
        <v>7</v>
      </c>
      <c r="C56" s="35" t="s">
        <v>14</v>
      </c>
      <c r="D56" s="35" t="s">
        <v>15</v>
      </c>
      <c r="E56" s="35" t="s">
        <v>16</v>
      </c>
      <c r="F56" s="35" t="s">
        <v>17</v>
      </c>
      <c r="G56" s="35" t="s">
        <v>18</v>
      </c>
      <c r="H56" s="35" t="s">
        <v>19</v>
      </c>
    </row>
    <row r="57" spans="1:8" ht="32.25" customHeight="1" x14ac:dyDescent="0.25">
      <c r="A57" s="12" t="s">
        <v>50</v>
      </c>
      <c r="B57" s="13">
        <v>19</v>
      </c>
      <c r="C57" s="4">
        <f>VLOOKUP(B57,Årlig_løn_grundbeløb[#All],4,FALSE)/12</f>
        <v>16523.083333333332</v>
      </c>
      <c r="D57" s="4">
        <f>1578/12</f>
        <v>131.5</v>
      </c>
      <c r="H57" s="22">
        <f>SUM(C57:G57)*(1+$G$1)</f>
        <v>27536.321682499998</v>
      </c>
    </row>
    <row r="58" spans="1:8" x14ac:dyDescent="0.25">
      <c r="A58" s="12" t="s">
        <v>51</v>
      </c>
      <c r="B58" s="13">
        <v>24</v>
      </c>
      <c r="C58" s="4">
        <f>VLOOKUP(B58,Årlig_løn_grundbeløb[#All],4,FALSE)/12</f>
        <v>17754.083333333332</v>
      </c>
      <c r="D58" s="4">
        <f>520/12</f>
        <v>43.333333333333336</v>
      </c>
      <c r="H58" s="22">
        <f>SUM(C58:G58)*(1+$G$1)</f>
        <v>29425.857173499997</v>
      </c>
    </row>
    <row r="59" spans="1:8" x14ac:dyDescent="0.25">
      <c r="H59" s="22"/>
    </row>
    <row r="60" spans="1:8" x14ac:dyDescent="0.25">
      <c r="H60" s="22"/>
    </row>
    <row r="61" spans="1:8" ht="19.5" thickBot="1" x14ac:dyDescent="0.3">
      <c r="A61" s="42" t="s">
        <v>52</v>
      </c>
      <c r="B61" s="43"/>
      <c r="C61" s="19"/>
      <c r="D61" s="19"/>
      <c r="E61" s="14"/>
      <c r="F61" s="14"/>
      <c r="G61" s="14"/>
      <c r="H61" s="14"/>
    </row>
    <row r="63" spans="1:8" ht="39" customHeight="1" x14ac:dyDescent="0.25">
      <c r="A63" s="27" t="s">
        <v>53</v>
      </c>
      <c r="B63" s="34" t="s">
        <v>7</v>
      </c>
      <c r="C63" s="35" t="s">
        <v>54</v>
      </c>
      <c r="D63" s="35" t="s">
        <v>55</v>
      </c>
      <c r="E63" s="35" t="s">
        <v>56</v>
      </c>
      <c r="F63" s="35" t="s">
        <v>57</v>
      </c>
      <c r="G63" s="35" t="s">
        <v>58</v>
      </c>
      <c r="H63" s="35" t="s">
        <v>19</v>
      </c>
    </row>
    <row r="64" spans="1:8" x14ac:dyDescent="0.25">
      <c r="D64" s="11" t="s">
        <v>59</v>
      </c>
      <c r="F64" s="11" t="s">
        <v>60</v>
      </c>
      <c r="H64" s="22"/>
    </row>
    <row r="65" spans="1:11" x14ac:dyDescent="0.25">
      <c r="A65" s="12" t="s">
        <v>61</v>
      </c>
      <c r="B65" s="13">
        <v>4</v>
      </c>
      <c r="C65" s="4">
        <f>VLOOKUP(B65,SHK_grundløn[#All],2,FALSE)/12</f>
        <v>20308.333333333332</v>
      </c>
      <c r="D65" s="4">
        <f>3100/12</f>
        <v>258.33333333333331</v>
      </c>
      <c r="F65" s="4">
        <f>9050/12</f>
        <v>754.16666666666663</v>
      </c>
      <c r="H65" s="22">
        <f>SUM(C65:G65)*(1+$G$2)</f>
        <v>30918.513062499998</v>
      </c>
      <c r="J65" s="1"/>
      <c r="K65" s="1"/>
    </row>
    <row r="66" spans="1:11" x14ac:dyDescent="0.25">
      <c r="A66" s="12"/>
      <c r="B66" s="13"/>
      <c r="C66" s="4"/>
      <c r="H66" s="22"/>
      <c r="J66" s="1"/>
      <c r="K66" s="1"/>
    </row>
    <row r="67" spans="1:11" x14ac:dyDescent="0.25">
      <c r="A67" s="12"/>
      <c r="B67" s="13"/>
      <c r="C67" s="4"/>
      <c r="D67" s="11" t="s">
        <v>62</v>
      </c>
      <c r="H67" s="22"/>
    </row>
    <row r="68" spans="1:11" x14ac:dyDescent="0.25">
      <c r="A68" s="12" t="s">
        <v>35</v>
      </c>
      <c r="B68" s="13">
        <v>7</v>
      </c>
      <c r="C68" s="4">
        <f>VLOOKUP(B68,SHK_grundløn[#All],2,FALSE)/12</f>
        <v>24208.333333333332</v>
      </c>
      <c r="D68" s="4">
        <f>2150/12</f>
        <v>179.16666666666666</v>
      </c>
      <c r="E68" s="1"/>
      <c r="H68" s="22">
        <f t="shared" ref="H68:H69" si="10">SUM(C68:G68)*(1+$G$2)</f>
        <v>35365.655062500002</v>
      </c>
    </row>
    <row r="69" spans="1:11" x14ac:dyDescent="0.25">
      <c r="A69" s="12" t="s">
        <v>63</v>
      </c>
      <c r="B69" s="13">
        <v>9</v>
      </c>
      <c r="C69" s="4">
        <f>VLOOKUP(B69,SHK_grundløn[#All],2,FALSE)/12</f>
        <v>25975</v>
      </c>
      <c r="H69" s="22">
        <f t="shared" si="10"/>
        <v>37667.776125000004</v>
      </c>
    </row>
  </sheetData>
  <mergeCells count="3">
    <mergeCell ref="F3:G3"/>
    <mergeCell ref="E1:F1"/>
    <mergeCell ref="E2:F2"/>
  </mergeCells>
  <pageMargins left="0.7" right="0.7" top="0.75" bottom="0.75" header="0.3" footer="0.3"/>
  <drawing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F127-5C30-47CB-A019-899A73771E96}">
  <dimension ref="A1:K120"/>
  <sheetViews>
    <sheetView tabSelected="1" topLeftCell="A65" zoomScaleNormal="100" workbookViewId="0">
      <selection activeCell="K100" sqref="K100"/>
    </sheetView>
  </sheetViews>
  <sheetFormatPr defaultRowHeight="15" x14ac:dyDescent="0.25"/>
  <cols>
    <col min="1" max="1" width="64.5703125" customWidth="1"/>
    <col min="2" max="2" width="11.85546875" customWidth="1"/>
    <col min="3" max="3" width="23.42578125" customWidth="1"/>
    <col min="4" max="4" width="23.7109375" customWidth="1"/>
    <col min="5" max="5" width="23.140625" customWidth="1"/>
    <col min="6" max="6" width="21.5703125" customWidth="1"/>
    <col min="7" max="7" width="18.42578125" customWidth="1"/>
    <col min="8" max="8" width="28.42578125" customWidth="1"/>
    <col min="9" max="9" width="15" bestFit="1" customWidth="1"/>
  </cols>
  <sheetData>
    <row r="1" spans="1:9" ht="24" x14ac:dyDescent="0.4">
      <c r="A1" s="49" t="s">
        <v>64</v>
      </c>
      <c r="E1" s="78" t="s">
        <v>1</v>
      </c>
      <c r="F1" s="80"/>
      <c r="G1" s="23">
        <v>0.65337800000000001</v>
      </c>
      <c r="H1" s="39" t="s">
        <v>2</v>
      </c>
    </row>
    <row r="2" spans="1:9" ht="15.75" x14ac:dyDescent="0.25">
      <c r="A2" s="17" t="s">
        <v>3</v>
      </c>
      <c r="B2" s="18" t="s">
        <v>4</v>
      </c>
      <c r="C2" s="16"/>
      <c r="D2" s="16"/>
      <c r="E2" s="81" t="s">
        <v>5</v>
      </c>
      <c r="F2" s="82"/>
      <c r="G2" s="24">
        <v>0.45015500000000003</v>
      </c>
      <c r="H2" s="40" t="s">
        <v>2</v>
      </c>
    </row>
    <row r="3" spans="1:9" ht="34.5" customHeight="1" thickBot="1" x14ac:dyDescent="0.3">
      <c r="A3" s="15" t="s">
        <v>6</v>
      </c>
      <c r="B3" s="20" t="s">
        <v>7</v>
      </c>
      <c r="C3" s="19" t="s">
        <v>65</v>
      </c>
      <c r="D3" s="19" t="s">
        <v>66</v>
      </c>
      <c r="E3" s="19" t="s">
        <v>67</v>
      </c>
      <c r="F3" s="79" t="s">
        <v>68</v>
      </c>
      <c r="G3" s="79"/>
      <c r="H3" s="41" t="s">
        <v>12</v>
      </c>
    </row>
    <row r="4" spans="1:9" x14ac:dyDescent="0.25">
      <c r="F4" s="33"/>
    </row>
    <row r="5" spans="1:9" ht="39" customHeight="1" x14ac:dyDescent="0.25">
      <c r="A5" s="45" t="s">
        <v>69</v>
      </c>
      <c r="B5" s="46" t="s">
        <v>7</v>
      </c>
      <c r="C5" s="47" t="s">
        <v>70</v>
      </c>
      <c r="D5" s="47" t="s">
        <v>71</v>
      </c>
      <c r="E5" s="47" t="s">
        <v>72</v>
      </c>
      <c r="F5" s="47" t="s">
        <v>73</v>
      </c>
      <c r="G5" s="47" t="s">
        <v>74</v>
      </c>
      <c r="H5" s="47" t="s">
        <v>75</v>
      </c>
      <c r="I5" s="77" t="s">
        <v>76</v>
      </c>
    </row>
    <row r="6" spans="1:9" x14ac:dyDescent="0.25">
      <c r="A6" s="12" t="s">
        <v>20</v>
      </c>
      <c r="B6" s="13">
        <v>27</v>
      </c>
      <c r="C6" s="4">
        <f>(VLOOKUP(B6,Årlig_løn_grundbeløb[#All],4,FALSE)/12)*(1+$G$1)</f>
        <v>30820.481516500004</v>
      </c>
      <c r="D6" s="4">
        <f t="shared" ref="D6:D8" si="0">(14682/12)*(1+$G$1)</f>
        <v>2022.9079830000001</v>
      </c>
      <c r="E6" s="4">
        <f>(2000/12)*(1+$G$1)</f>
        <v>275.56299999999999</v>
      </c>
      <c r="F6" s="4"/>
      <c r="H6" s="22">
        <f t="shared" ref="H6:H8" si="1">SUM(C6:G6)</f>
        <v>33118.952499500003</v>
      </c>
      <c r="I6" s="72">
        <v>0.15</v>
      </c>
    </row>
    <row r="7" spans="1:9" x14ac:dyDescent="0.25">
      <c r="A7" s="12" t="s">
        <v>21</v>
      </c>
      <c r="B7" s="13">
        <v>31</v>
      </c>
      <c r="C7" s="4">
        <f>(VLOOKUP(B7,Årlig_løn_grundbeløb[#All],4,FALSE)/12)*(1+$G$1)</f>
        <v>32933.498600500003</v>
      </c>
      <c r="D7" s="4">
        <f t="shared" si="0"/>
        <v>2022.9079830000001</v>
      </c>
      <c r="E7" s="4">
        <f t="shared" ref="E7:E8" si="2">(2000/12)*(1+$G$1)</f>
        <v>275.56299999999999</v>
      </c>
      <c r="F7" s="4"/>
      <c r="H7" s="22">
        <f t="shared" si="1"/>
        <v>35231.969583500002</v>
      </c>
      <c r="I7" s="72">
        <v>0.15</v>
      </c>
    </row>
    <row r="8" spans="1:9" x14ac:dyDescent="0.25">
      <c r="A8" s="12" t="s">
        <v>22</v>
      </c>
      <c r="B8" s="13">
        <v>36</v>
      </c>
      <c r="C8" s="4">
        <f>(VLOOKUP(B8,Årlig_løn_grundbeløb[#All],4,FALSE)/12)*(1+$G$1)</f>
        <v>35849.919610999998</v>
      </c>
      <c r="D8" s="4">
        <f t="shared" si="0"/>
        <v>2022.9079830000001</v>
      </c>
      <c r="E8" s="4">
        <f t="shared" si="2"/>
        <v>275.56299999999999</v>
      </c>
      <c r="F8" s="4"/>
      <c r="H8" s="22">
        <f t="shared" si="1"/>
        <v>38148.390593999997</v>
      </c>
      <c r="I8" s="72">
        <v>0.15</v>
      </c>
    </row>
    <row r="9" spans="1:9" x14ac:dyDescent="0.25">
      <c r="A9" s="12"/>
      <c r="B9" s="13"/>
      <c r="C9" s="4"/>
      <c r="D9" s="4"/>
      <c r="E9" s="4"/>
      <c r="F9" s="4"/>
      <c r="H9" s="22"/>
    </row>
    <row r="10" spans="1:9" x14ac:dyDescent="0.25">
      <c r="B10" s="13"/>
      <c r="C10" s="4"/>
    </row>
    <row r="11" spans="1:9" ht="39" customHeight="1" x14ac:dyDescent="0.25">
      <c r="A11" s="27" t="s">
        <v>77</v>
      </c>
      <c r="B11" s="34" t="s">
        <v>7</v>
      </c>
      <c r="C11" s="48" t="s">
        <v>78</v>
      </c>
      <c r="D11" s="48" t="s">
        <v>79</v>
      </c>
      <c r="E11" s="48" t="s">
        <v>80</v>
      </c>
      <c r="F11" s="48" t="s">
        <v>81</v>
      </c>
      <c r="G11" s="48" t="s">
        <v>82</v>
      </c>
      <c r="H11" s="35" t="s">
        <v>19</v>
      </c>
      <c r="I11" s="58" t="s">
        <v>76</v>
      </c>
    </row>
    <row r="12" spans="1:9" x14ac:dyDescent="0.25">
      <c r="A12" s="12" t="s">
        <v>20</v>
      </c>
      <c r="B12" s="13">
        <v>13</v>
      </c>
      <c r="C12" s="4">
        <f>(VLOOKUP(B12,Årlig_løn_grundbeløb[#All],4,FALSE)/12)*(1+$G$1)</f>
        <v>24991.359596000002</v>
      </c>
      <c r="D12" s="4">
        <f t="shared" ref="D12" si="3">(3272/12)*(1+$G$1)</f>
        <v>450.82106800000003</v>
      </c>
      <c r="E12" s="4">
        <f>(2000/12)*(1+$G$1)</f>
        <v>275.56299999999999</v>
      </c>
      <c r="F12" s="4"/>
      <c r="H12" s="22">
        <f t="shared" ref="H12:H15" si="4">SUM(C12:G12)</f>
        <v>25717.743664000001</v>
      </c>
      <c r="I12" s="72">
        <v>0.1416</v>
      </c>
    </row>
    <row r="13" spans="1:9" x14ac:dyDescent="0.25">
      <c r="A13" s="12" t="s">
        <v>24</v>
      </c>
      <c r="B13" s="13">
        <v>16</v>
      </c>
      <c r="C13" s="4">
        <f>(VLOOKUP(B13,Årlig_løn_grundbeløb[#All],4,FALSE)/12)*(1+$G$1)</f>
        <v>26110.972065000002</v>
      </c>
      <c r="D13" s="4">
        <f>(5272/12)*(1+$G$1)</f>
        <v>726.38406799999996</v>
      </c>
      <c r="E13" s="4">
        <f t="shared" ref="E13:E15" si="5">(2000/12)*(1+$G$1)</f>
        <v>275.56299999999999</v>
      </c>
      <c r="F13" s="4"/>
      <c r="H13" s="22">
        <f t="shared" si="4"/>
        <v>27112.919132999999</v>
      </c>
      <c r="I13" s="72">
        <v>0.1416</v>
      </c>
    </row>
    <row r="14" spans="1:9" x14ac:dyDescent="0.25">
      <c r="A14" s="12" t="s">
        <v>25</v>
      </c>
      <c r="B14" s="13">
        <v>17</v>
      </c>
      <c r="C14" s="4">
        <f>(VLOOKUP(B14,Årlig_løn_grundbeløb[#All],4,FALSE)/12)*(1+$G$1)</f>
        <v>26473.475191500002</v>
      </c>
      <c r="D14" s="4">
        <f>(5272/12)*(1+$G$1)</f>
        <v>726.38406799999996</v>
      </c>
      <c r="E14" s="4">
        <f t="shared" si="5"/>
        <v>275.56299999999999</v>
      </c>
      <c r="F14" s="4"/>
      <c r="H14" s="22">
        <f t="shared" si="4"/>
        <v>27475.422259499999</v>
      </c>
      <c r="I14" s="72">
        <v>0.1416</v>
      </c>
    </row>
    <row r="15" spans="1:9" x14ac:dyDescent="0.25">
      <c r="A15" s="12" t="s">
        <v>26</v>
      </c>
      <c r="B15" s="13">
        <v>20</v>
      </c>
      <c r="C15" s="4">
        <f>(VLOOKUP(B15,Årlig_løn_grundbeløb[#All],4,FALSE)/12)*(1+$G$1)</f>
        <v>27642.000092999999</v>
      </c>
      <c r="D15" s="4">
        <f>(5272/12)*(1+$G$1)</f>
        <v>726.38406799999996</v>
      </c>
      <c r="E15" s="4">
        <f t="shared" si="5"/>
        <v>275.56299999999999</v>
      </c>
      <c r="F15" s="4"/>
      <c r="H15" s="22">
        <f t="shared" si="4"/>
        <v>28643.947160999996</v>
      </c>
      <c r="I15" s="72">
        <v>0.1416</v>
      </c>
    </row>
    <row r="16" spans="1:9" x14ac:dyDescent="0.25">
      <c r="A16" s="12"/>
      <c r="B16" s="13"/>
      <c r="C16" s="4"/>
      <c r="D16" s="4"/>
      <c r="E16" s="4"/>
      <c r="F16" s="4"/>
      <c r="H16" s="22"/>
    </row>
    <row r="17" spans="1:9" x14ac:dyDescent="0.25">
      <c r="B17" s="13"/>
      <c r="C17" s="4"/>
      <c r="D17" s="4"/>
      <c r="H17" s="22"/>
    </row>
    <row r="18" spans="1:9" s="52" customFormat="1" ht="39" customHeight="1" x14ac:dyDescent="0.25">
      <c r="A18" s="64" t="s">
        <v>83</v>
      </c>
      <c r="B18" s="65" t="s">
        <v>7</v>
      </c>
      <c r="C18" s="66" t="s">
        <v>84</v>
      </c>
      <c r="D18" s="66" t="s">
        <v>85</v>
      </c>
      <c r="E18" s="66" t="s">
        <v>86</v>
      </c>
      <c r="F18" s="66" t="s">
        <v>87</v>
      </c>
      <c r="G18" s="66" t="s">
        <v>88</v>
      </c>
      <c r="H18" s="66" t="s">
        <v>89</v>
      </c>
      <c r="I18" s="76" t="s">
        <v>76</v>
      </c>
    </row>
    <row r="19" spans="1:9" x14ac:dyDescent="0.25">
      <c r="A19" s="67" t="s">
        <v>20</v>
      </c>
      <c r="B19" s="68">
        <v>20</v>
      </c>
      <c r="C19" s="69">
        <f>(VLOOKUP(B19,Årlig_løn_grundbeløb[#All],4,FALSE)/12)*(1+$G$1)</f>
        <v>27642.000092999999</v>
      </c>
      <c r="D19" s="69">
        <f>(3200/12)*(1+$G$1)</f>
        <v>440.90080000000006</v>
      </c>
      <c r="E19" s="69">
        <f>(2000/12)*(1+$G$1)</f>
        <v>275.56299999999999</v>
      </c>
      <c r="F19" s="69"/>
      <c r="G19" s="70"/>
      <c r="H19" s="71">
        <f t="shared" ref="H19:H22" si="6">SUM(C19:G19)</f>
        <v>28358.463892999996</v>
      </c>
      <c r="I19" s="72">
        <v>0.1416</v>
      </c>
    </row>
    <row r="20" spans="1:9" x14ac:dyDescent="0.25">
      <c r="A20" s="67" t="s">
        <v>28</v>
      </c>
      <c r="B20" s="68">
        <v>22</v>
      </c>
      <c r="C20" s="69">
        <f>(VLOOKUP(B20,Årlig_løn_grundbeløb[#All],4,FALSE)/12)*(1+$G$1)</f>
        <v>28432.865902999998</v>
      </c>
      <c r="D20" s="69">
        <f t="shared" ref="D20:D22" si="7">(4600/12)*(1+$G$1)</f>
        <v>633.79489999999998</v>
      </c>
      <c r="E20" s="69">
        <f t="shared" ref="E20:E22" si="8">(2000/12)*(1+$G$1)</f>
        <v>275.56299999999999</v>
      </c>
      <c r="F20" s="69"/>
      <c r="G20" s="70"/>
      <c r="H20" s="71">
        <f t="shared" si="6"/>
        <v>29342.223802999997</v>
      </c>
      <c r="I20" s="72">
        <v>0.1416</v>
      </c>
    </row>
    <row r="21" spans="1:9" x14ac:dyDescent="0.25">
      <c r="A21" s="67" t="s">
        <v>29</v>
      </c>
      <c r="B21" s="68">
        <v>25</v>
      </c>
      <c r="C21" s="69">
        <f>(VLOOKUP(B21,Årlig_løn_grundbeløb[#All],4,FALSE)/12)*(1+$G$1)</f>
        <v>29831.899254</v>
      </c>
      <c r="D21" s="69">
        <f t="shared" si="7"/>
        <v>633.79489999999998</v>
      </c>
      <c r="E21" s="69">
        <f t="shared" si="8"/>
        <v>275.56299999999999</v>
      </c>
      <c r="F21" s="69"/>
      <c r="G21" s="70"/>
      <c r="H21" s="71">
        <f t="shared" si="6"/>
        <v>30741.257153999999</v>
      </c>
      <c r="I21" s="72">
        <v>0.1416</v>
      </c>
    </row>
    <row r="22" spans="1:9" x14ac:dyDescent="0.25">
      <c r="A22" s="67" t="s">
        <v>30</v>
      </c>
      <c r="B22" s="68">
        <v>26</v>
      </c>
      <c r="C22" s="69">
        <f>(VLOOKUP(B22,Årlig_løn_grundbeløb[#All],4,FALSE)/12)*(1+$G$1)</f>
        <v>30320.6102345</v>
      </c>
      <c r="D22" s="69">
        <f t="shared" si="7"/>
        <v>633.79489999999998</v>
      </c>
      <c r="E22" s="69">
        <f t="shared" si="8"/>
        <v>275.56299999999999</v>
      </c>
      <c r="F22" s="69"/>
      <c r="G22" s="70"/>
      <c r="H22" s="71">
        <f t="shared" si="6"/>
        <v>31229.968134499999</v>
      </c>
      <c r="I22" s="72">
        <v>0.1416</v>
      </c>
    </row>
    <row r="23" spans="1:9" x14ac:dyDescent="0.25">
      <c r="A23" s="12"/>
      <c r="B23" s="13"/>
      <c r="C23" s="4"/>
      <c r="D23" s="4"/>
      <c r="E23" s="4"/>
      <c r="F23" s="4"/>
      <c r="H23" s="22"/>
    </row>
    <row r="24" spans="1:9" x14ac:dyDescent="0.25">
      <c r="B24" s="13"/>
      <c r="C24" s="4"/>
      <c r="D24" s="4"/>
      <c r="E24" s="4"/>
      <c r="F24" s="4"/>
      <c r="H24" s="22"/>
    </row>
    <row r="25" spans="1:9" ht="39" customHeight="1" x14ac:dyDescent="0.25">
      <c r="A25" s="27" t="s">
        <v>90</v>
      </c>
      <c r="B25" s="34" t="s">
        <v>7</v>
      </c>
      <c r="C25" s="48" t="s">
        <v>78</v>
      </c>
      <c r="D25" s="48" t="s">
        <v>79</v>
      </c>
      <c r="E25" s="48" t="s">
        <v>80</v>
      </c>
      <c r="F25" s="48" t="s">
        <v>81</v>
      </c>
      <c r="G25" s="48" t="s">
        <v>82</v>
      </c>
      <c r="H25" s="35" t="s">
        <v>19</v>
      </c>
      <c r="I25" s="75" t="s">
        <v>76</v>
      </c>
    </row>
    <row r="26" spans="1:9" x14ac:dyDescent="0.25">
      <c r="B26" s="13"/>
      <c r="C26" s="4"/>
      <c r="D26" s="4"/>
      <c r="E26" s="38"/>
      <c r="F26" s="4" t="s">
        <v>33</v>
      </c>
      <c r="G26" s="38" t="s">
        <v>34</v>
      </c>
      <c r="H26" s="22"/>
      <c r="I26" s="72"/>
    </row>
    <row r="27" spans="1:9" x14ac:dyDescent="0.25">
      <c r="A27" s="12" t="s">
        <v>20</v>
      </c>
      <c r="B27" s="13">
        <v>33</v>
      </c>
      <c r="C27" s="4">
        <f>(VLOOKUP(B27,Årlig_løn_grundbeløb[#All],4,FALSE)/12)*(1+$G$1)</f>
        <v>34061.653522499997</v>
      </c>
      <c r="D27" s="4">
        <f>(3000/12)*(1+$G$1)</f>
        <v>413.34449999999998</v>
      </c>
      <c r="E27" s="58">
        <f t="shared" ref="E27:E38" si="9">(2500/12)*(1+$G$1)</f>
        <v>344.45375000000001</v>
      </c>
      <c r="F27" s="4">
        <f>(4800/12)*(1+$G$1)</f>
        <v>661.35120000000006</v>
      </c>
      <c r="G27" s="58">
        <f>(13000/12)*(1+$G$1)</f>
        <v>1791.1595</v>
      </c>
      <c r="H27" s="22">
        <f>SUM(C27:G27)</f>
        <v>37271.962472499996</v>
      </c>
      <c r="I27" s="72">
        <v>0.18940000000000001</v>
      </c>
    </row>
    <row r="28" spans="1:9" x14ac:dyDescent="0.25">
      <c r="A28" s="12" t="s">
        <v>35</v>
      </c>
      <c r="B28" s="13">
        <v>37</v>
      </c>
      <c r="C28" s="4">
        <f>(VLOOKUP(B28,Årlig_løn_grundbeløb[#All],4,FALSE)/12)*(1+$G$1)</f>
        <v>36472.416427999997</v>
      </c>
      <c r="D28" s="4">
        <f>(3000/12)*(1+$G$1)</f>
        <v>413.34449999999998</v>
      </c>
      <c r="E28" s="58">
        <f t="shared" si="9"/>
        <v>344.45375000000001</v>
      </c>
      <c r="F28" s="4">
        <f t="shared" ref="F28:F38" si="10">(4800/12)*(1+$G$1)</f>
        <v>661.35120000000006</v>
      </c>
      <c r="G28" s="59">
        <f t="shared" ref="G28:G30" si="11">(13000/12)*(1+$G$1)</f>
        <v>1791.1595</v>
      </c>
      <c r="H28" s="22">
        <f t="shared" ref="H28:H30" si="12">SUM(C28:G28)</f>
        <v>39682.725377999996</v>
      </c>
      <c r="I28" s="72">
        <v>0.18940000000000001</v>
      </c>
    </row>
    <row r="29" spans="1:9" x14ac:dyDescent="0.25">
      <c r="A29" s="12" t="s">
        <v>30</v>
      </c>
      <c r="B29" s="13">
        <v>42</v>
      </c>
      <c r="C29" s="4">
        <f>(VLOOKUP(B29,Årlig_løn_grundbeløb[#All],4,FALSE)/12)*(1+$G$1)</f>
        <v>39876.446167000002</v>
      </c>
      <c r="D29" s="4"/>
      <c r="E29" s="58">
        <f t="shared" si="9"/>
        <v>344.45375000000001</v>
      </c>
      <c r="F29" s="4">
        <f t="shared" si="10"/>
        <v>661.35120000000006</v>
      </c>
      <c r="G29" s="59">
        <f t="shared" si="11"/>
        <v>1791.1595</v>
      </c>
      <c r="H29" s="22">
        <f t="shared" si="12"/>
        <v>42673.410617000001</v>
      </c>
      <c r="I29" s="72">
        <v>0.18940000000000001</v>
      </c>
    </row>
    <row r="30" spans="1:9" x14ac:dyDescent="0.25">
      <c r="A30" s="12" t="s">
        <v>36</v>
      </c>
      <c r="B30" s="13">
        <v>42</v>
      </c>
      <c r="C30" s="4">
        <f>(VLOOKUP(B30,Årlig_løn_grundbeløb[#All],4,FALSE)/12)*(1+$G$1)</f>
        <v>39876.446167000002</v>
      </c>
      <c r="D30" s="4">
        <f>(10000/12)*(1+$G$1)</f>
        <v>1377.8150000000001</v>
      </c>
      <c r="E30" s="58">
        <f t="shared" si="9"/>
        <v>344.45375000000001</v>
      </c>
      <c r="F30" s="4">
        <f t="shared" si="10"/>
        <v>661.35120000000006</v>
      </c>
      <c r="G30" s="59">
        <f t="shared" si="11"/>
        <v>1791.1595</v>
      </c>
      <c r="H30" s="22">
        <f t="shared" si="12"/>
        <v>44051.225617000004</v>
      </c>
      <c r="I30" s="72">
        <v>0.18940000000000001</v>
      </c>
    </row>
    <row r="31" spans="1:9" x14ac:dyDescent="0.25">
      <c r="A31" s="37" t="s">
        <v>91</v>
      </c>
      <c r="B31" s="13">
        <v>30</v>
      </c>
      <c r="C31" s="4">
        <f>(VLOOKUP(B31,Årlig_løn_grundbeløb[#All],4,FALSE)/12)*(1+$G$1)</f>
        <v>32387.608297499999</v>
      </c>
      <c r="D31" s="4">
        <f>(4000/12)*(1+$G$1)</f>
        <v>551.12599999999998</v>
      </c>
      <c r="E31" s="58">
        <f t="shared" si="9"/>
        <v>344.45375000000001</v>
      </c>
      <c r="F31" s="4">
        <f t="shared" si="10"/>
        <v>661.35120000000006</v>
      </c>
      <c r="G31" s="59">
        <f>(15400/12)*(1+$G$1)</f>
        <v>2121.8350999999998</v>
      </c>
      <c r="H31" s="22">
        <f t="shared" ref="H31" si="13">SUM(C31:G31)</f>
        <v>36066.374347499994</v>
      </c>
      <c r="I31" s="72">
        <v>0.18940000000000001</v>
      </c>
    </row>
    <row r="32" spans="1:9" x14ac:dyDescent="0.25">
      <c r="A32" s="12" t="s">
        <v>35</v>
      </c>
      <c r="B32" s="13">
        <v>33</v>
      </c>
      <c r="C32" s="4">
        <f>VLOOKUP(B32,Årlig_løn_grundbeløb[#All],4,FALSE)/12</f>
        <v>20601.25</v>
      </c>
      <c r="D32" s="4">
        <f t="shared" ref="D32" si="14">(4000/12)*(1+$G$1)</f>
        <v>551.12599999999998</v>
      </c>
      <c r="E32" s="58">
        <f t="shared" si="9"/>
        <v>344.45375000000001</v>
      </c>
      <c r="F32" s="4">
        <f t="shared" si="10"/>
        <v>661.35120000000006</v>
      </c>
      <c r="G32" s="59">
        <f t="shared" ref="G32:G34" si="15">(15400/12)*(1+$G$1)</f>
        <v>2121.8350999999998</v>
      </c>
      <c r="H32" s="22">
        <f>SUM(C32:G32)*(1+$G$1)</f>
        <v>40144.044376716905</v>
      </c>
      <c r="I32" s="72">
        <v>0.18940000000000001</v>
      </c>
    </row>
    <row r="33" spans="1:9" x14ac:dyDescent="0.25">
      <c r="A33" s="12" t="s">
        <v>30</v>
      </c>
      <c r="B33" s="13">
        <v>35</v>
      </c>
      <c r="C33" s="4">
        <f>VLOOKUP(B33,Årlig_løn_grundbeløb[#All],4,FALSE)/12</f>
        <v>21314.333333333332</v>
      </c>
      <c r="D33" s="4">
        <f>(2000/12)*(1+$G$1)</f>
        <v>275.56299999999999</v>
      </c>
      <c r="E33" s="58">
        <f t="shared" si="9"/>
        <v>344.45375000000001</v>
      </c>
      <c r="F33" s="4">
        <f t="shared" si="10"/>
        <v>661.35120000000006</v>
      </c>
      <c r="G33" s="59">
        <f t="shared" si="15"/>
        <v>2121.8350999999998</v>
      </c>
      <c r="H33" s="22">
        <f>SUM(C33:G33)*(1+$G$1)</f>
        <v>40867.430870402895</v>
      </c>
      <c r="I33" s="72">
        <v>0.18940000000000001</v>
      </c>
    </row>
    <row r="34" spans="1:9" x14ac:dyDescent="0.25">
      <c r="A34" s="12" t="s">
        <v>36</v>
      </c>
      <c r="B34" s="13">
        <v>39</v>
      </c>
      <c r="C34" s="4">
        <f>(VLOOKUP(B34,Årlig_løn_grundbeløb[#All],4,FALSE)/12)*(1+$G$1)</f>
        <v>37796.6344245</v>
      </c>
      <c r="D34" s="4">
        <f>(2000/12)*(1+$G$1)</f>
        <v>275.56299999999999</v>
      </c>
      <c r="E34" s="58">
        <f t="shared" si="9"/>
        <v>344.45375000000001</v>
      </c>
      <c r="F34" s="4">
        <f t="shared" si="10"/>
        <v>661.35120000000006</v>
      </c>
      <c r="G34" s="59">
        <f t="shared" si="15"/>
        <v>2121.8350999999998</v>
      </c>
      <c r="H34" s="22">
        <f>SUM(C34:G34)</f>
        <v>41199.837474499996</v>
      </c>
      <c r="I34" s="72">
        <v>0.18940000000000001</v>
      </c>
    </row>
    <row r="35" spans="1:9" x14ac:dyDescent="0.25">
      <c r="A35" s="37" t="s">
        <v>92</v>
      </c>
      <c r="B35" s="13">
        <v>32</v>
      </c>
      <c r="C35" s="4">
        <f>(VLOOKUP(B35,Årlig_løn_grundbeløb[#All],4,FALSE)/12)*(1+$G$1)</f>
        <v>33491.513675500006</v>
      </c>
      <c r="D35" s="4">
        <f>(3000/12)*(1+$G$1)</f>
        <v>413.34449999999998</v>
      </c>
      <c r="E35" s="58">
        <f t="shared" si="9"/>
        <v>344.45375000000001</v>
      </c>
      <c r="F35" s="4">
        <f>(4800/12)*(1+$G$1)</f>
        <v>661.35120000000006</v>
      </c>
      <c r="G35" s="58">
        <f>(13000/12)*(1+$G$1)</f>
        <v>1791.1595</v>
      </c>
      <c r="H35" s="22">
        <f>SUM(C35:G35)</f>
        <v>36701.822625500005</v>
      </c>
      <c r="I35" s="72">
        <v>0.18940000000000001</v>
      </c>
    </row>
    <row r="36" spans="1:9" x14ac:dyDescent="0.25">
      <c r="A36" s="12" t="s">
        <v>35</v>
      </c>
      <c r="B36" s="13">
        <v>34</v>
      </c>
      <c r="C36" s="4">
        <f>(VLOOKUP(B36,Årlig_løn_grundbeløb[#All],4,FALSE)/12)*(1+$G$1)</f>
        <v>34645.020393499995</v>
      </c>
      <c r="D36" s="4">
        <f>(3000/12)*(1+$G$1)</f>
        <v>413.34449999999998</v>
      </c>
      <c r="E36" s="58">
        <f t="shared" si="9"/>
        <v>344.45375000000001</v>
      </c>
      <c r="F36" s="4">
        <f t="shared" si="10"/>
        <v>661.35120000000006</v>
      </c>
      <c r="G36" s="59">
        <f t="shared" ref="G36:G38" si="16">(13000/12)*(1+$G$1)</f>
        <v>1791.1595</v>
      </c>
      <c r="H36" s="22">
        <f t="shared" ref="H36:H38" si="17">SUM(C36:G36)</f>
        <v>37855.329343499994</v>
      </c>
      <c r="I36" s="72">
        <v>0.18940000000000001</v>
      </c>
    </row>
    <row r="37" spans="1:9" x14ac:dyDescent="0.25">
      <c r="A37" s="12" t="s">
        <v>30</v>
      </c>
      <c r="B37" s="13">
        <v>36</v>
      </c>
      <c r="C37" s="4">
        <f>(VLOOKUP(B37,Årlig_løn_grundbeløb[#All],4,FALSE)/12)*(1+$G$1)</f>
        <v>35849.919610999998</v>
      </c>
      <c r="D37" s="4"/>
      <c r="E37" s="58">
        <f t="shared" si="9"/>
        <v>344.45375000000001</v>
      </c>
      <c r="F37" s="4">
        <f t="shared" si="10"/>
        <v>661.35120000000006</v>
      </c>
      <c r="G37" s="59">
        <f t="shared" si="16"/>
        <v>1791.1595</v>
      </c>
      <c r="H37" s="22">
        <f t="shared" si="17"/>
        <v>38646.884060999997</v>
      </c>
      <c r="I37" s="72">
        <v>0.18940000000000001</v>
      </c>
    </row>
    <row r="38" spans="1:9" x14ac:dyDescent="0.25">
      <c r="A38" s="12" t="s">
        <v>36</v>
      </c>
      <c r="B38" s="13">
        <v>38</v>
      </c>
      <c r="C38" s="4">
        <f>(VLOOKUP(B38,Årlig_løn_grundbeløb[#All],4,FALSE)/12)*(1+$G$1)</f>
        <v>37133.216502000003</v>
      </c>
      <c r="D38" s="4">
        <f>(10000/12)*(1+$G$1)</f>
        <v>1377.8150000000001</v>
      </c>
      <c r="E38" s="58">
        <f t="shared" si="9"/>
        <v>344.45375000000001</v>
      </c>
      <c r="F38" s="4">
        <f t="shared" si="10"/>
        <v>661.35120000000006</v>
      </c>
      <c r="G38" s="59">
        <f t="shared" si="16"/>
        <v>1791.1595</v>
      </c>
      <c r="H38" s="22">
        <f t="shared" si="17"/>
        <v>41307.995952000005</v>
      </c>
      <c r="I38" s="72">
        <v>0.18940000000000001</v>
      </c>
    </row>
    <row r="39" spans="1:9" x14ac:dyDescent="0.25">
      <c r="A39" s="12"/>
      <c r="B39" s="13"/>
      <c r="C39" s="4"/>
      <c r="D39" s="4"/>
      <c r="E39" s="58"/>
      <c r="F39" s="4"/>
      <c r="G39" s="59"/>
      <c r="H39" s="22"/>
    </row>
    <row r="41" spans="1:9" ht="39" customHeight="1" x14ac:dyDescent="0.25">
      <c r="A41" s="45" t="s">
        <v>93</v>
      </c>
      <c r="B41" s="46" t="s">
        <v>7</v>
      </c>
      <c r="C41" s="47" t="s">
        <v>70</v>
      </c>
      <c r="D41" s="47" t="s">
        <v>71</v>
      </c>
      <c r="E41" s="47" t="s">
        <v>72</v>
      </c>
      <c r="F41" s="47" t="s">
        <v>73</v>
      </c>
      <c r="G41" s="47" t="s">
        <v>74</v>
      </c>
      <c r="H41" s="47" t="s">
        <v>75</v>
      </c>
      <c r="I41" s="74" t="s">
        <v>76</v>
      </c>
    </row>
    <row r="42" spans="1:9" x14ac:dyDescent="0.25">
      <c r="A42" s="36" t="s">
        <v>38</v>
      </c>
      <c r="C42" s="4"/>
      <c r="D42" s="4"/>
      <c r="H42" s="22"/>
      <c r="I42" s="73"/>
    </row>
    <row r="43" spans="1:9" x14ac:dyDescent="0.25">
      <c r="A43" s="37" t="s">
        <v>39</v>
      </c>
      <c r="B43" s="38" t="s">
        <v>7</v>
      </c>
      <c r="F43" s="11"/>
      <c r="H43" s="22"/>
      <c r="I43" s="73"/>
    </row>
    <row r="44" spans="1:9" x14ac:dyDescent="0.25">
      <c r="A44" s="13">
        <v>0</v>
      </c>
      <c r="B44" s="13">
        <v>1</v>
      </c>
      <c r="C44" s="4">
        <f>(VLOOKUP(B44,AC_grundløn[#All],2,FALSE)/12)*(1+$G$1)</f>
        <v>28193.677219000001</v>
      </c>
      <c r="D44" s="4"/>
      <c r="F44" s="2"/>
      <c r="H44" s="22">
        <f>SUM(C44:G44)</f>
        <v>28193.677219000001</v>
      </c>
      <c r="I44" s="73">
        <v>0.21</v>
      </c>
    </row>
    <row r="45" spans="1:9" x14ac:dyDescent="0.25">
      <c r="A45" s="13">
        <v>1</v>
      </c>
      <c r="B45" s="13">
        <v>2</v>
      </c>
      <c r="C45" s="4">
        <f>(VLOOKUP(B45,AC_grundløn[#All],2,FALSE)/12)*(1+$G$1)</f>
        <v>29415.247997999999</v>
      </c>
      <c r="D45" s="4"/>
      <c r="F45" s="2"/>
      <c r="H45" s="22">
        <f t="shared" ref="H45:H58" si="18">SUM(C45:G45)</f>
        <v>29415.247997999999</v>
      </c>
      <c r="I45" s="73">
        <v>0.21</v>
      </c>
    </row>
    <row r="46" spans="1:9" x14ac:dyDescent="0.25">
      <c r="A46" s="13">
        <v>2</v>
      </c>
      <c r="B46" s="13">
        <v>4</v>
      </c>
      <c r="C46" s="4">
        <f>(VLOOKUP(B46,AC_grundløn[#All],2,FALSE)/12)*(1+$G$1)</f>
        <v>32404.142077500001</v>
      </c>
      <c r="D46" s="4"/>
      <c r="F46" s="2"/>
      <c r="H46" s="22">
        <f t="shared" si="18"/>
        <v>32404.142077500001</v>
      </c>
      <c r="I46" s="73">
        <v>0.21</v>
      </c>
    </row>
    <row r="47" spans="1:9" x14ac:dyDescent="0.25">
      <c r="A47" s="13">
        <v>4</v>
      </c>
      <c r="B47" s="13">
        <v>5</v>
      </c>
      <c r="C47" s="4">
        <f>(VLOOKUP(B47,AC_grundløn[#All],2,FALSE)/12)*(1+$G$1)</f>
        <v>34511.923464499996</v>
      </c>
      <c r="D47" s="4"/>
      <c r="F47" s="2"/>
      <c r="H47" s="22">
        <f t="shared" si="18"/>
        <v>34511.923464499996</v>
      </c>
      <c r="I47" s="73">
        <v>0.21</v>
      </c>
    </row>
    <row r="48" spans="1:9" x14ac:dyDescent="0.25">
      <c r="A48" s="13">
        <v>5</v>
      </c>
      <c r="B48" s="13">
        <v>6</v>
      </c>
      <c r="C48" s="4">
        <f>(VLOOKUP(B48,AC_grundløn[#All],2,FALSE)/12)*(1+$G$1)</f>
        <v>36255.686128499998</v>
      </c>
      <c r="D48" s="4"/>
      <c r="F48" s="2"/>
      <c r="H48" s="22">
        <f t="shared" si="18"/>
        <v>36255.686128499998</v>
      </c>
      <c r="I48" s="73">
        <v>0.21</v>
      </c>
    </row>
    <row r="49" spans="1:9" x14ac:dyDescent="0.25">
      <c r="A49" s="13">
        <v>6</v>
      </c>
      <c r="B49" s="13">
        <v>6</v>
      </c>
      <c r="C49" s="4">
        <f>(VLOOKUP(B49,AC_grundløn[#All],2,FALSE)/12)*(1+$G$1)</f>
        <v>36255.686128499998</v>
      </c>
      <c r="D49" s="4"/>
      <c r="F49" s="2"/>
      <c r="H49" s="22">
        <f t="shared" si="18"/>
        <v>36255.686128499998</v>
      </c>
      <c r="I49" s="73">
        <v>0.21</v>
      </c>
    </row>
    <row r="50" spans="1:9" x14ac:dyDescent="0.25">
      <c r="A50" s="36" t="s">
        <v>41</v>
      </c>
      <c r="B50" s="13"/>
      <c r="C50" s="4"/>
      <c r="F50" s="2"/>
      <c r="H50" s="22"/>
      <c r="I50" s="73"/>
    </row>
    <row r="51" spans="1:9" x14ac:dyDescent="0.25">
      <c r="A51" s="37" t="s">
        <v>39</v>
      </c>
      <c r="B51" s="38" t="s">
        <v>7</v>
      </c>
      <c r="C51" s="4"/>
      <c r="F51" s="11" t="s">
        <v>94</v>
      </c>
      <c r="H51" s="22"/>
      <c r="I51" s="73"/>
    </row>
    <row r="52" spans="1:9" x14ac:dyDescent="0.25">
      <c r="A52" s="13">
        <v>0</v>
      </c>
      <c r="B52" s="13">
        <v>4</v>
      </c>
      <c r="C52" s="4">
        <f>(VLOOKUP(B52,AC_grundløn[#All],2,FALSE)/12)*(1+$G$1)</f>
        <v>32404.142077500001</v>
      </c>
      <c r="D52" s="4"/>
      <c r="F52" s="2">
        <f>(VLOOKUP(A52,AC_rådighedstillæg[#All],2,FALSE)/12)*(1+$G$1)</f>
        <v>3454.1133142499998</v>
      </c>
      <c r="H52" s="22">
        <f t="shared" si="18"/>
        <v>35858.255391749997</v>
      </c>
      <c r="I52" s="73">
        <v>0.21</v>
      </c>
    </row>
    <row r="53" spans="1:9" x14ac:dyDescent="0.25">
      <c r="A53" s="13">
        <v>1</v>
      </c>
      <c r="B53" s="13">
        <v>4</v>
      </c>
      <c r="C53" s="4">
        <f>(VLOOKUP(B53,AC_grundløn[#All],2,FALSE)/12)*(1+$G$1)</f>
        <v>32404.142077500001</v>
      </c>
      <c r="D53" s="4"/>
      <c r="F53" s="2">
        <f>(VLOOKUP(A53,AC_rådighedstillæg[#All],2,FALSE)/12)*(1+$G$1)</f>
        <v>3966.3201739450001</v>
      </c>
      <c r="H53" s="22">
        <f t="shared" si="18"/>
        <v>36370.462251445002</v>
      </c>
      <c r="I53" s="73">
        <v>0.21</v>
      </c>
    </row>
    <row r="54" spans="1:9" x14ac:dyDescent="0.25">
      <c r="A54" s="13">
        <v>2</v>
      </c>
      <c r="B54" s="13">
        <v>5</v>
      </c>
      <c r="C54" s="4">
        <f>(VLOOKUP(B54,AC_grundløn[#All],2,FALSE)/12)*(1+$G$1)</f>
        <v>34511.923464499996</v>
      </c>
      <c r="D54" s="4"/>
      <c r="F54" s="2">
        <f>(VLOOKUP(A54,AC_rådighedstillæg[#All],2,FALSE)/12)*(1+$G$1)</f>
        <v>3966.3201739450001</v>
      </c>
      <c r="H54" s="22">
        <f t="shared" si="18"/>
        <v>38478.243638444997</v>
      </c>
      <c r="I54" s="73">
        <v>0.21</v>
      </c>
    </row>
    <row r="55" spans="1:9" x14ac:dyDescent="0.25">
      <c r="A55" s="13">
        <v>3</v>
      </c>
      <c r="B55" s="13">
        <v>6</v>
      </c>
      <c r="C55" s="4">
        <f>(VLOOKUP(B55,AC_grundløn[#All],2,FALSE)/12)*(1+$G$1)</f>
        <v>36255.686128499998</v>
      </c>
      <c r="D55" s="4"/>
      <c r="F55" s="2">
        <f>(VLOOKUP(A56,AC_rådighedstillæg[#All],2,FALSE)/12)*(1+$G$1)</f>
        <v>4544.1936965400009</v>
      </c>
      <c r="H55" s="22">
        <f t="shared" si="18"/>
        <v>40799.87982504</v>
      </c>
      <c r="I55" s="73">
        <v>0.21</v>
      </c>
    </row>
    <row r="56" spans="1:9" x14ac:dyDescent="0.25">
      <c r="A56" s="13">
        <v>4</v>
      </c>
      <c r="B56" s="13">
        <v>8</v>
      </c>
      <c r="C56" s="4">
        <f>(VLOOKUP(B56,AC_grundløn[#All],2,FALSE)/12)*(1+$G$1)</f>
        <v>39755.336228500004</v>
      </c>
      <c r="D56" s="4"/>
      <c r="F56" s="2">
        <f>(VLOOKUP(A56,AC_rådighedstillæg[#All],2,FALSE)/12)*(1+$G$1)</f>
        <v>4544.1936965400009</v>
      </c>
      <c r="H56" s="22">
        <f t="shared" si="18"/>
        <v>44299.529925040006</v>
      </c>
      <c r="I56" s="73">
        <v>0.21</v>
      </c>
    </row>
    <row r="57" spans="1:9" x14ac:dyDescent="0.25">
      <c r="A57" s="13">
        <v>6</v>
      </c>
      <c r="B57" s="13">
        <v>8</v>
      </c>
      <c r="C57" s="4">
        <f>(VLOOKUP(B56,AC_grundløn[#All],2,FALSE)/12)*(1+$G$1)</f>
        <v>39755.336228500004</v>
      </c>
      <c r="D57" s="4"/>
      <c r="F57" s="2">
        <f>(VLOOKUP(A57,AC_rådighedstillæg[#All],2,FALSE)/12)*(1+$G$1)</f>
        <v>5187.7366376650007</v>
      </c>
      <c r="H57" s="22"/>
      <c r="I57" s="73">
        <v>0.21</v>
      </c>
    </row>
    <row r="58" spans="1:9" x14ac:dyDescent="0.25">
      <c r="A58" s="13">
        <v>8</v>
      </c>
      <c r="B58" s="13">
        <v>8</v>
      </c>
      <c r="C58" s="4">
        <f>(VLOOKUP(B58,AC_grundløn[#All],2,FALSE)/12)*(1+$G$1)</f>
        <v>39755.336228500004</v>
      </c>
      <c r="D58" s="4"/>
      <c r="F58" s="2">
        <f>(VLOOKUP(A58,AC_rådighedstillæg[#All],2,FALSE)/12)*(1+$G$1)</f>
        <v>6501.0864294450002</v>
      </c>
      <c r="H58" s="22">
        <f t="shared" si="18"/>
        <v>46256.422657945004</v>
      </c>
      <c r="I58" s="73">
        <v>0.21</v>
      </c>
    </row>
    <row r="59" spans="1:9" x14ac:dyDescent="0.25">
      <c r="A59" s="13"/>
      <c r="B59" s="13"/>
      <c r="C59" s="4"/>
      <c r="D59" s="4"/>
      <c r="F59" s="2"/>
      <c r="H59" s="22"/>
    </row>
    <row r="61" spans="1:9" ht="39" customHeight="1" x14ac:dyDescent="0.25">
      <c r="A61" s="27" t="s">
        <v>42</v>
      </c>
      <c r="B61" s="34" t="s">
        <v>7</v>
      </c>
      <c r="C61" s="48" t="s">
        <v>78</v>
      </c>
      <c r="D61" s="48" t="s">
        <v>79</v>
      </c>
      <c r="E61" s="48" t="s">
        <v>80</v>
      </c>
      <c r="F61" s="48" t="s">
        <v>81</v>
      </c>
      <c r="G61" s="48" t="s">
        <v>82</v>
      </c>
      <c r="H61" s="35" t="s">
        <v>19</v>
      </c>
      <c r="I61" s="75" t="s">
        <v>76</v>
      </c>
    </row>
    <row r="62" spans="1:9" x14ac:dyDescent="0.25">
      <c r="A62" s="37" t="s">
        <v>95</v>
      </c>
      <c r="B62" s="13">
        <v>14</v>
      </c>
      <c r="C62" s="4">
        <f>(VLOOKUP(B62,Årlig_løn_grundbeløb[#All],4,FALSE)/12)*(1+$G$1)</f>
        <v>25423.0290355</v>
      </c>
      <c r="D62" s="4">
        <f t="shared" ref="D62" si="19">(1400/12)*(1+$G$1)</f>
        <v>192.89410000000001</v>
      </c>
      <c r="E62" s="5"/>
      <c r="H62" s="22">
        <f t="shared" ref="H62:H64" si="20">SUM(C62:G62)</f>
        <v>25615.923135500001</v>
      </c>
      <c r="I62" s="73">
        <v>0.17</v>
      </c>
    </row>
    <row r="63" spans="1:9" x14ac:dyDescent="0.25">
      <c r="A63" s="12" t="s">
        <v>96</v>
      </c>
      <c r="B63" s="13">
        <v>21</v>
      </c>
      <c r="C63" s="4">
        <f>(VLOOKUP(B63,Årlig_løn_grundbeløb[#All],4,FALSE)/12)*(1+$G$1)</f>
        <v>28099.021328500003</v>
      </c>
      <c r="D63" s="4">
        <f>(1400/12)*(1+$G$1)</f>
        <v>192.89410000000001</v>
      </c>
      <c r="E63" s="5"/>
      <c r="H63" s="22">
        <f>SUM(C63:G63)</f>
        <v>28291.915428500004</v>
      </c>
      <c r="I63" s="73">
        <v>0.17</v>
      </c>
    </row>
    <row r="64" spans="1:9" x14ac:dyDescent="0.25">
      <c r="A64" s="37" t="s">
        <v>97</v>
      </c>
      <c r="B64" s="13">
        <v>23</v>
      </c>
      <c r="C64" s="4">
        <f>(VLOOKUP(B64,Årlig_løn_grundbeløb[#All],4,FALSE)/12)*(1+$G$1)</f>
        <v>28886.304819499997</v>
      </c>
      <c r="D64" s="5"/>
      <c r="E64" s="5"/>
      <c r="H64" s="22">
        <f t="shared" si="20"/>
        <v>28886.304819499997</v>
      </c>
      <c r="I64" s="73">
        <v>0.17</v>
      </c>
    </row>
    <row r="65" spans="1:9" x14ac:dyDescent="0.25">
      <c r="A65" s="12" t="s">
        <v>96</v>
      </c>
      <c r="B65" s="13">
        <v>29</v>
      </c>
      <c r="C65" s="4">
        <f>(VLOOKUP(B65,Årlig_løn_grundbeløb[#All],4,FALSE)/12)*(1+$G$1)</f>
        <v>31853.842766500002</v>
      </c>
      <c r="D65" s="5"/>
      <c r="E65" s="5"/>
      <c r="H65" s="22">
        <f>SUM(C65:G65)</f>
        <v>31853.842766500002</v>
      </c>
      <c r="I65" s="73">
        <v>0.17</v>
      </c>
    </row>
    <row r="66" spans="1:9" x14ac:dyDescent="0.25">
      <c r="A66" s="37" t="s">
        <v>45</v>
      </c>
      <c r="B66" s="13">
        <v>33</v>
      </c>
      <c r="C66" s="4">
        <f>(VLOOKUP(B66,Årlig_løn_grundbeløb[#All],4,FALSE)/12)*(1+$G$1)</f>
        <v>34061.653522499997</v>
      </c>
      <c r="D66" s="5"/>
      <c r="E66" s="5"/>
      <c r="H66" s="22">
        <f>SUM(C66:G66)</f>
        <v>34061.653522499997</v>
      </c>
      <c r="I66" s="73">
        <v>0.17</v>
      </c>
    </row>
    <row r="67" spans="1:9" x14ac:dyDescent="0.25">
      <c r="A67" s="12" t="s">
        <v>98</v>
      </c>
      <c r="B67" s="13">
        <v>41</v>
      </c>
      <c r="C67" s="4">
        <f>(VLOOKUP(B67,Årlig_løn_grundbeløb[#All],4,FALSE)/12)*(1+$G$1)</f>
        <v>39168.249256999996</v>
      </c>
      <c r="D67" s="5">
        <f>(11900/12)*(1+$G$1)</f>
        <v>1639.5998500000001</v>
      </c>
      <c r="E67" s="5"/>
      <c r="H67" s="22">
        <f>SUM(C67:G67)</f>
        <v>40807.849106999995</v>
      </c>
      <c r="I67" s="73">
        <v>0.17</v>
      </c>
    </row>
    <row r="69" spans="1:9" x14ac:dyDescent="0.25">
      <c r="B69" s="13"/>
      <c r="C69" s="4"/>
      <c r="H69" s="22"/>
    </row>
    <row r="70" spans="1:9" ht="39" customHeight="1" x14ac:dyDescent="0.25">
      <c r="A70" s="45" t="s">
        <v>99</v>
      </c>
      <c r="B70" s="46" t="s">
        <v>7</v>
      </c>
      <c r="C70" s="47" t="s">
        <v>70</v>
      </c>
      <c r="D70" s="47" t="s">
        <v>71</v>
      </c>
      <c r="E70" s="47" t="s">
        <v>72</v>
      </c>
      <c r="F70" s="47" t="s">
        <v>73</v>
      </c>
      <c r="G70" s="47" t="s">
        <v>74</v>
      </c>
      <c r="H70" s="47" t="s">
        <v>75</v>
      </c>
      <c r="I70" s="74" t="s">
        <v>76</v>
      </c>
    </row>
    <row r="71" spans="1:9" ht="15.95" customHeight="1" x14ac:dyDescent="0.25">
      <c r="A71" s="37" t="s">
        <v>100</v>
      </c>
      <c r="B71" s="13">
        <v>19</v>
      </c>
      <c r="C71" s="4">
        <f>(VLOOKUP(B71,Årlig_løn_grundbeløb[#All],4,FALSE)/12)*(1+$G$1)</f>
        <v>27318.902475499999</v>
      </c>
      <c r="D71" s="4">
        <f>(1578/12)*(1+$G$1)</f>
        <v>217.419207</v>
      </c>
      <c r="E71" s="13"/>
      <c r="H71" s="22">
        <f>SUM(Tabel2030[[#This Row],[Grundløn
Aktuelt niveau]:[Øvrige tillæg
Aktuelt niveau]])</f>
        <v>27536.321682499998</v>
      </c>
      <c r="I71" s="73">
        <v>0.15290000000000001</v>
      </c>
    </row>
    <row r="72" spans="1:9" ht="15.95" customHeight="1" x14ac:dyDescent="0.25">
      <c r="A72" s="12" t="s">
        <v>101</v>
      </c>
      <c r="B72" s="13">
        <v>20</v>
      </c>
      <c r="C72" s="4">
        <f>(VLOOKUP(B72,Årlig_løn_grundbeløb[#All],4,FALSE)/12)*(1+$G$1)</f>
        <v>27642.000092999999</v>
      </c>
      <c r="D72" s="4">
        <f>(1578/12)*(1+$G$1)</f>
        <v>217.419207</v>
      </c>
      <c r="E72" s="13" t="s">
        <v>102</v>
      </c>
      <c r="H72" s="22">
        <f>SUM(C72:G72)</f>
        <v>27859.419299999998</v>
      </c>
      <c r="I72" s="73">
        <v>0.15290000000000001</v>
      </c>
    </row>
    <row r="73" spans="1:9" ht="15.95" customHeight="1" x14ac:dyDescent="0.25">
      <c r="A73" s="12" t="s">
        <v>103</v>
      </c>
      <c r="B73" s="13">
        <v>23</v>
      </c>
      <c r="C73" s="4">
        <f>(VLOOKUP(B73,Årlig_løn_grundbeløb[#All],4,FALSE)/12)*(1+$G$1)</f>
        <v>28886.304819499997</v>
      </c>
      <c r="D73" s="4">
        <f>(2578/12)*(1+$G$1)</f>
        <v>355.20070700000002</v>
      </c>
      <c r="E73" s="13"/>
      <c r="H73" s="22">
        <f>SUM(C73:G73)</f>
        <v>29241.505526499997</v>
      </c>
      <c r="I73" s="73">
        <v>0.15290000000000001</v>
      </c>
    </row>
    <row r="74" spans="1:9" ht="15.95" customHeight="1" x14ac:dyDescent="0.25">
      <c r="A74" s="12" t="s">
        <v>96</v>
      </c>
      <c r="B74" s="13">
        <v>26</v>
      </c>
      <c r="C74" s="4">
        <f>(VLOOKUP(B74,Årlig_løn_grundbeløb[#All],4,FALSE)/12)*(1+$G$1)</f>
        <v>30320.6102345</v>
      </c>
      <c r="D74" s="4">
        <f>(2578/12)*(1+$G$1)</f>
        <v>355.20070700000002</v>
      </c>
      <c r="E74" s="13" t="s">
        <v>102</v>
      </c>
      <c r="H74" s="22">
        <f>SUM(C74:G74)</f>
        <v>30675.8109415</v>
      </c>
      <c r="I74" s="73">
        <v>0.15290000000000001</v>
      </c>
    </row>
    <row r="75" spans="1:9" ht="15.95" customHeight="1" x14ac:dyDescent="0.25">
      <c r="A75" s="12" t="s">
        <v>104</v>
      </c>
      <c r="B75" s="13">
        <v>30</v>
      </c>
      <c r="C75" s="4">
        <f>(VLOOKUP(B75,Årlig_løn_grundbeløb[#All],4,FALSE)/12)*(1+$G$1)</f>
        <v>32387.608297499999</v>
      </c>
      <c r="D75" s="4">
        <f>(3078/12)*(1+$G$1)</f>
        <v>424.09145699999999</v>
      </c>
      <c r="E75" s="13" t="s">
        <v>102</v>
      </c>
      <c r="H75" s="22">
        <f>SUM(C75:G75)</f>
        <v>32811.699754499998</v>
      </c>
      <c r="I75" s="73">
        <v>0.15290000000000001</v>
      </c>
    </row>
    <row r="76" spans="1:9" ht="15.95" customHeight="1" x14ac:dyDescent="0.25">
      <c r="A76" s="37" t="s">
        <v>105</v>
      </c>
      <c r="B76" s="13">
        <v>24</v>
      </c>
      <c r="C76" s="4">
        <f>(VLOOKUP(B76,Årlig_løn_grundbeløb[#All],4,FALSE)/12)*(1+$G$1)</f>
        <v>29354.210793499999</v>
      </c>
      <c r="D76" s="4">
        <f t="shared" ref="D76:D80" si="21">(520/12)*(1+$G$1)</f>
        <v>71.646380000000008</v>
      </c>
      <c r="E76" s="13"/>
      <c r="H76" s="22">
        <f>Tabel2030[[#This Row],[Grundløn
Aktuelt niveau]]+Tabel2030[[#This Row],[Grundlønstillæg
Aktuelt niveau]]+Tabel2030[[#This Row],[Lokalt aftalt tillæg
Aktuelt niveau]]+Tabel2030[[#This Row],[Øvrige centrale tillæg
Aktuelt niveau]]+Tabel2030[[#This Row],[Øvrige tillæg
Aktuelt niveau]]</f>
        <v>29425.857173499997</v>
      </c>
      <c r="I76" s="73">
        <v>0.15290000000000001</v>
      </c>
    </row>
    <row r="77" spans="1:9" ht="15.95" customHeight="1" x14ac:dyDescent="0.25">
      <c r="A77" s="12" t="s">
        <v>101</v>
      </c>
      <c r="B77" s="13">
        <v>25</v>
      </c>
      <c r="C77" s="4">
        <f>(VLOOKUP(B77,Årlig_løn_grundbeløb[#All],4,FALSE)/12)*(1+$G$1)</f>
        <v>29831.899254</v>
      </c>
      <c r="D77" s="4">
        <f t="shared" si="21"/>
        <v>71.646380000000008</v>
      </c>
      <c r="E77" s="13" t="s">
        <v>102</v>
      </c>
      <c r="H77" s="22">
        <f>Tabel2030[[#This Row],[Grundløn
Aktuelt niveau]]+Tabel2030[[#This Row],[Grundlønstillæg
Aktuelt niveau]]</f>
        <v>29903.545633999998</v>
      </c>
      <c r="I77" s="73">
        <v>0.15290000000000001</v>
      </c>
    </row>
    <row r="78" spans="1:9" ht="15.95" customHeight="1" x14ac:dyDescent="0.25">
      <c r="A78" s="12" t="s">
        <v>103</v>
      </c>
      <c r="B78" s="13">
        <v>30</v>
      </c>
      <c r="C78" s="4">
        <f>(VLOOKUP(B78,Årlig_løn_grundbeløb[#All],4,FALSE)/12)*(1+$G$1)</f>
        <v>32387.608297499999</v>
      </c>
      <c r="D78" s="4">
        <f t="shared" si="21"/>
        <v>71.646380000000008</v>
      </c>
      <c r="E78" s="13"/>
      <c r="H78" s="22">
        <f>Tabel2030[[#This Row],[Grundløn
Aktuelt niveau]]+Tabel2030[[#This Row],[Grundlønstillæg
Aktuelt niveau]]</f>
        <v>32459.254677499997</v>
      </c>
      <c r="I78" s="73">
        <v>0.15290000000000001</v>
      </c>
    </row>
    <row r="79" spans="1:9" ht="15.95" customHeight="1" x14ac:dyDescent="0.25">
      <c r="A79" s="12" t="s">
        <v>96</v>
      </c>
      <c r="B79" s="13">
        <v>33</v>
      </c>
      <c r="C79" s="4">
        <f>(VLOOKUP(B79,Årlig_løn_grundbeløb[#All],4,FALSE)/12)*(1+$G$1)</f>
        <v>34061.653522499997</v>
      </c>
      <c r="D79" s="4">
        <f t="shared" si="21"/>
        <v>71.646380000000008</v>
      </c>
      <c r="E79" s="13" t="s">
        <v>102</v>
      </c>
      <c r="H79" s="22">
        <f>Tabel2030[[#This Row],[Grundløn
Aktuelt niveau]]+Tabel2030[[#This Row],[Grundlønstillæg
Aktuelt niveau]]</f>
        <v>34133.299902499995</v>
      </c>
      <c r="I79" s="73">
        <v>0.15290000000000001</v>
      </c>
    </row>
    <row r="80" spans="1:9" ht="15.95" customHeight="1" x14ac:dyDescent="0.25">
      <c r="A80" s="12" t="s">
        <v>106</v>
      </c>
      <c r="B80" s="13">
        <v>35</v>
      </c>
      <c r="C80" s="4">
        <f>(VLOOKUP(B80,Årlig_løn_grundbeløb[#All],4,FALSE)/12)*(1+$G$1)</f>
        <v>35240.649817999998</v>
      </c>
      <c r="D80" s="4">
        <f t="shared" si="21"/>
        <v>71.646380000000008</v>
      </c>
      <c r="E80" s="13" t="s">
        <v>102</v>
      </c>
      <c r="H80" s="22">
        <f>Tabel2030[[#This Row],[Grundløn
Aktuelt niveau]]+Tabel2030[[#This Row],[Grundlønstillæg
Aktuelt niveau]]</f>
        <v>35312.296197999996</v>
      </c>
      <c r="I80" s="73">
        <v>0.15290000000000001</v>
      </c>
    </row>
    <row r="81" spans="1:9" ht="15.95" customHeight="1" x14ac:dyDescent="0.25">
      <c r="A81" s="37" t="s">
        <v>107</v>
      </c>
      <c r="B81" s="13">
        <v>13</v>
      </c>
      <c r="C81" s="4">
        <f>(VLOOKUP(B81,Årlig_løn_grundbeløb[#All],4,FALSE)/12)*(1+$G$1)</f>
        <v>24991.359596000002</v>
      </c>
      <c r="D81" s="4"/>
      <c r="E81" s="13"/>
      <c r="H81" s="22">
        <f>Tabel2030[[#This Row],[Grundløn
Aktuelt niveau]]+Tabel2030[[#This Row],[Grundlønstillæg
Aktuelt niveau]]+Tabel2030[[#This Row],[Lokalt aftalt tillæg
Aktuelt niveau]]+Tabel2030[[#This Row],[Øvrige centrale tillæg
Aktuelt niveau]]+Tabel2030[[#This Row],[Øvrige tillæg
Aktuelt niveau]]</f>
        <v>24991.359596000002</v>
      </c>
      <c r="I81" s="73">
        <v>0.15290000000000001</v>
      </c>
    </row>
    <row r="82" spans="1:9" x14ac:dyDescent="0.25">
      <c r="A82" s="12"/>
      <c r="B82" s="13"/>
      <c r="C82" s="4"/>
      <c r="D82" s="4"/>
      <c r="H82" s="22"/>
    </row>
    <row r="83" spans="1:9" x14ac:dyDescent="0.25">
      <c r="A83" s="12"/>
      <c r="B83" s="13"/>
      <c r="C83" s="4"/>
      <c r="D83" s="4"/>
      <c r="H83" s="22"/>
    </row>
    <row r="84" spans="1:9" x14ac:dyDescent="0.25">
      <c r="A84" s="12"/>
      <c r="B84" s="13"/>
      <c r="C84" s="4"/>
      <c r="D84" s="4"/>
      <c r="H84" s="22"/>
    </row>
    <row r="85" spans="1:9" ht="39" customHeight="1" x14ac:dyDescent="0.25">
      <c r="A85" s="50" t="s">
        <v>108</v>
      </c>
      <c r="B85" s="51" t="s">
        <v>7</v>
      </c>
      <c r="C85" s="48" t="s">
        <v>78</v>
      </c>
      <c r="D85" s="48" t="s">
        <v>79</v>
      </c>
      <c r="E85" s="48" t="s">
        <v>80</v>
      </c>
      <c r="F85" s="48" t="s">
        <v>81</v>
      </c>
      <c r="G85" s="48" t="s">
        <v>82</v>
      </c>
      <c r="H85" s="48" t="s">
        <v>109</v>
      </c>
      <c r="I85" s="48" t="s">
        <v>76</v>
      </c>
    </row>
    <row r="86" spans="1:9" x14ac:dyDescent="0.25">
      <c r="A86" t="s">
        <v>110</v>
      </c>
      <c r="B86" s="13">
        <v>17</v>
      </c>
      <c r="C86" s="5">
        <f>(VLOOKUP(B86,Årlig_løn_grundbeløb[#All],4,FALSE)/12)*(1+$G$1)</f>
        <v>26473.475191500002</v>
      </c>
      <c r="D86" s="5">
        <f>(1700/12)*(1+$G$1)</f>
        <v>234.22854999999998</v>
      </c>
      <c r="E86" s="60" t="s">
        <v>102</v>
      </c>
      <c r="H86" s="57">
        <f>SUM(C86:G86)</f>
        <v>26707.703741500001</v>
      </c>
      <c r="I86" s="73">
        <v>0.14130000000000001</v>
      </c>
    </row>
    <row r="87" spans="1:9" x14ac:dyDescent="0.25">
      <c r="A87" t="s">
        <v>101</v>
      </c>
      <c r="B87" s="13">
        <v>20</v>
      </c>
      <c r="C87" s="5">
        <f>(VLOOKUP(B87,Årlig_løn_grundbeløb[#All],4,FALSE)/12)*(1+$G$1)</f>
        <v>27642.000092999999</v>
      </c>
      <c r="D87" s="5">
        <f>(1700/12)*(1+$G$1)</f>
        <v>234.22854999999998</v>
      </c>
      <c r="E87" s="13" t="s">
        <v>102</v>
      </c>
      <c r="H87" s="57">
        <f t="shared" ref="H87:H88" si="22">SUM(C87:G87)</f>
        <v>27876.228642999999</v>
      </c>
      <c r="I87" s="73">
        <v>0.14130000000000001</v>
      </c>
    </row>
    <row r="88" spans="1:9" x14ac:dyDescent="0.25">
      <c r="A88" t="s">
        <v>111</v>
      </c>
      <c r="B88" s="13">
        <v>22</v>
      </c>
      <c r="C88" s="5">
        <f>(VLOOKUP(B88,Årlig_løn_grundbeløb[#All],4,FALSE)/12)*(1+$G$1)</f>
        <v>28432.865902999998</v>
      </c>
      <c r="D88" s="5">
        <f>(2000/12)*(1+$G$1)</f>
        <v>275.56299999999999</v>
      </c>
      <c r="E88" s="13" t="s">
        <v>102</v>
      </c>
      <c r="H88" s="57">
        <f t="shared" si="22"/>
        <v>28708.428902999996</v>
      </c>
      <c r="I88" s="73">
        <v>0.14130000000000001</v>
      </c>
    </row>
    <row r="89" spans="1:9" x14ac:dyDescent="0.25">
      <c r="B89" s="13"/>
    </row>
    <row r="90" spans="1:9" x14ac:dyDescent="0.25">
      <c r="B90" s="13"/>
    </row>
    <row r="91" spans="1:9" s="54" customFormat="1" ht="36.6" customHeight="1" x14ac:dyDescent="0.25">
      <c r="A91" s="45" t="s">
        <v>112</v>
      </c>
      <c r="B91" s="55" t="s">
        <v>113</v>
      </c>
      <c r="C91" s="56" t="s">
        <v>114</v>
      </c>
      <c r="D91" s="56" t="s">
        <v>115</v>
      </c>
      <c r="E91" s="56" t="s">
        <v>116</v>
      </c>
      <c r="F91" s="56" t="s">
        <v>117</v>
      </c>
      <c r="G91" s="56" t="s">
        <v>118</v>
      </c>
      <c r="H91" s="56" t="s">
        <v>119</v>
      </c>
      <c r="I91" s="74" t="s">
        <v>76</v>
      </c>
    </row>
    <row r="92" spans="1:9" x14ac:dyDescent="0.25">
      <c r="A92" t="s">
        <v>120</v>
      </c>
      <c r="B92" s="13">
        <v>20</v>
      </c>
      <c r="C92" s="5">
        <f>(VLOOKUP(B92,Årlig_løn_grundbeløb[#All],4,FALSE)/12)*(1+$G$1)</f>
        <v>27642.000092999999</v>
      </c>
      <c r="D92" s="5">
        <f>(4365/12)*(1+$G$1)</f>
        <v>601.41624750000005</v>
      </c>
      <c r="E92" s="13" t="s">
        <v>102</v>
      </c>
      <c r="H92" s="57">
        <f t="shared" ref="H92:H94" si="23">SUM(C92:G92)</f>
        <v>28243.4163405</v>
      </c>
      <c r="I92" s="73">
        <v>0.1522</v>
      </c>
    </row>
    <row r="93" spans="1:9" x14ac:dyDescent="0.25">
      <c r="A93" s="53" t="s">
        <v>121</v>
      </c>
      <c r="B93" s="13">
        <v>22</v>
      </c>
      <c r="C93" s="5">
        <f>(VLOOKUP(B93,Årlig_løn_grundbeløb[#All],4,FALSE)/12)*(1+$G$1)</f>
        <v>28432.865902999998</v>
      </c>
      <c r="D93" s="5">
        <f>(4365/12)*(1+$G$1)</f>
        <v>601.41624750000005</v>
      </c>
      <c r="E93" s="13" t="s">
        <v>102</v>
      </c>
      <c r="H93" s="22">
        <f t="shared" si="23"/>
        <v>29034.282150499999</v>
      </c>
      <c r="I93" s="73">
        <v>0.1522</v>
      </c>
    </row>
    <row r="94" spans="1:9" x14ac:dyDescent="0.25">
      <c r="A94" s="53" t="s">
        <v>103</v>
      </c>
      <c r="B94" s="13">
        <v>25</v>
      </c>
      <c r="C94" s="5">
        <f>(VLOOKUP(B94,Årlig_løn_grundbeløb[#All],4,FALSE)/12)*(1+$G$1)</f>
        <v>29831.899254</v>
      </c>
      <c r="D94" s="5">
        <f>(4365/12)*(1+$G$1)</f>
        <v>601.41624750000005</v>
      </c>
      <c r="E94" s="13" t="s">
        <v>102</v>
      </c>
      <c r="H94" s="22">
        <f t="shared" si="23"/>
        <v>30433.315501500001</v>
      </c>
      <c r="I94" s="73">
        <v>0.1522</v>
      </c>
    </row>
    <row r="95" spans="1:9" x14ac:dyDescent="0.25">
      <c r="A95" s="12"/>
      <c r="B95" s="13"/>
      <c r="C95" s="4"/>
      <c r="D95" s="4"/>
      <c r="H95" s="22"/>
    </row>
    <row r="96" spans="1:9" ht="30" x14ac:dyDescent="0.25">
      <c r="A96" s="27" t="s">
        <v>122</v>
      </c>
      <c r="B96" s="13" t="s">
        <v>113</v>
      </c>
      <c r="C96" s="61" t="s">
        <v>65</v>
      </c>
      <c r="D96" s="61" t="s">
        <v>115</v>
      </c>
      <c r="E96" s="13" t="s">
        <v>123</v>
      </c>
      <c r="F96" s="62" t="s">
        <v>117</v>
      </c>
      <c r="G96" s="62" t="s">
        <v>118</v>
      </c>
      <c r="H96" s="63" t="s">
        <v>124</v>
      </c>
      <c r="I96" s="75" t="s">
        <v>76</v>
      </c>
    </row>
    <row r="97" spans="1:11" x14ac:dyDescent="0.25">
      <c r="A97" s="12" t="s">
        <v>125</v>
      </c>
      <c r="B97" s="13">
        <v>32</v>
      </c>
      <c r="C97" s="4">
        <f>(VLOOKUP(B97,Årlig_løn_grundbeløb[#All],4,FALSE)/12)*(1+$G$1)</f>
        <v>33491.513675500006</v>
      </c>
      <c r="D97" s="4"/>
      <c r="H97" s="22">
        <f>Tabel5[[#This Row],[Grundløn
Aktuelt niveau]]+Tabel5[[#This Row],[Grundlønstillæg
Aktuelt niveau]]</f>
        <v>33491.513675500006</v>
      </c>
      <c r="I97" s="73">
        <v>0.16</v>
      </c>
    </row>
    <row r="98" spans="1:11" x14ac:dyDescent="0.25">
      <c r="A98" s="12" t="s">
        <v>126</v>
      </c>
      <c r="B98" s="13">
        <v>38</v>
      </c>
      <c r="C98" s="4">
        <f>(VLOOKUP(B98,Årlig_løn_grundbeløb[#All],4,FALSE)/12)*(1+$G$1)</f>
        <v>37133.216502000003</v>
      </c>
      <c r="D98" s="4">
        <f>(2700/12)*(1+$G$1)</f>
        <v>372.01004999999998</v>
      </c>
      <c r="H98" s="22">
        <f>Tabel5[[#This Row],[Grundløn
Aktuelt niveau]]+Tabel5[[#This Row],[Grundlønstillæg
Aktuelt niveau]]</f>
        <v>37505.226552</v>
      </c>
      <c r="I98" s="73">
        <v>0.16</v>
      </c>
    </row>
    <row r="99" spans="1:11" x14ac:dyDescent="0.25">
      <c r="A99" s="12" t="s">
        <v>127</v>
      </c>
      <c r="B99" s="13">
        <v>35</v>
      </c>
      <c r="C99" s="4">
        <f>(VLOOKUP(B99,Årlig_løn_grundbeløb[#All],4,FALSE)/12)*(1+$G$1)</f>
        <v>35240.649817999998</v>
      </c>
      <c r="D99" s="4">
        <f>(2000/12)*(1+$G$1)</f>
        <v>275.56299999999999</v>
      </c>
      <c r="H99" s="22">
        <f>Tabel5[[#This Row],[Grundløn
Aktuelt niveau]]+Tabel5[[#This Row],[Grundlønstillæg
Aktuelt niveau]]</f>
        <v>35516.212818</v>
      </c>
      <c r="I99" s="73">
        <v>0.17030000000000001</v>
      </c>
    </row>
    <row r="100" spans="1:11" x14ac:dyDescent="0.25">
      <c r="A100" s="12" t="s">
        <v>128</v>
      </c>
      <c r="B100" s="13">
        <v>38</v>
      </c>
      <c r="C100" s="4">
        <f>(VLOOKUP(B100,Årlig_løn_grundbeløb[#All],4,FALSE)/12)*(1+$G$1)</f>
        <v>37133.216502000003</v>
      </c>
      <c r="D100" s="4"/>
      <c r="H100" s="22">
        <f>Tabel5[[#This Row],[Grundløn
Aktuelt niveau]]+Tabel5[[#This Row],[Grundlønstillæg
Aktuelt niveau]]</f>
        <v>37133.216502000003</v>
      </c>
      <c r="I100" s="73">
        <v>0.17030000000000001</v>
      </c>
    </row>
    <row r="101" spans="1:11" x14ac:dyDescent="0.25">
      <c r="A101" s="12"/>
      <c r="B101" s="13"/>
      <c r="C101" s="4"/>
      <c r="D101" s="4"/>
      <c r="H101" s="22"/>
    </row>
    <row r="102" spans="1:11" x14ac:dyDescent="0.25">
      <c r="H102" s="22"/>
    </row>
    <row r="103" spans="1:11" ht="18.75" x14ac:dyDescent="0.25">
      <c r="A103" s="42" t="s">
        <v>52</v>
      </c>
      <c r="B103" s="43"/>
      <c r="C103" s="19"/>
      <c r="D103" s="19"/>
      <c r="E103" s="14"/>
      <c r="F103" s="14"/>
      <c r="G103" s="14"/>
      <c r="H103" s="14"/>
    </row>
    <row r="105" spans="1:11" ht="39" customHeight="1" x14ac:dyDescent="0.25">
      <c r="A105" s="45" t="s">
        <v>53</v>
      </c>
      <c r="B105" s="46" t="s">
        <v>7</v>
      </c>
      <c r="C105" s="47" t="s">
        <v>70</v>
      </c>
      <c r="D105" s="47" t="s">
        <v>71</v>
      </c>
      <c r="E105" s="47" t="s">
        <v>72</v>
      </c>
      <c r="F105" s="47" t="s">
        <v>73</v>
      </c>
      <c r="G105" s="47" t="s">
        <v>74</v>
      </c>
      <c r="H105" s="47" t="s">
        <v>75</v>
      </c>
      <c r="I105" s="74" t="s">
        <v>76</v>
      </c>
    </row>
    <row r="106" spans="1:11" x14ac:dyDescent="0.25">
      <c r="D106" s="11" t="s">
        <v>59</v>
      </c>
      <c r="F106" s="11"/>
      <c r="H106" s="22"/>
      <c r="I106" s="73"/>
    </row>
    <row r="107" spans="1:11" x14ac:dyDescent="0.25">
      <c r="A107" s="12" t="s">
        <v>61</v>
      </c>
      <c r="B107" s="13">
        <v>4</v>
      </c>
      <c r="C107" s="4">
        <f>(VLOOKUP(B107,SHK_grundløn[#All],2,FALSE)/12)*(1+$G$2)</f>
        <v>29450.231124999998</v>
      </c>
      <c r="D107" s="4">
        <f>(12150/12)*(1+$G$2)</f>
        <v>1468.2819375000001</v>
      </c>
      <c r="F107" s="4"/>
      <c r="H107" s="22">
        <f>SUM(C107:G107)</f>
        <v>30918.513062499998</v>
      </c>
      <c r="I107" s="73">
        <v>0.15</v>
      </c>
      <c r="J107" s="1"/>
      <c r="K107" s="1"/>
    </row>
    <row r="108" spans="1:11" x14ac:dyDescent="0.25">
      <c r="A108" s="12" t="s">
        <v>129</v>
      </c>
      <c r="B108" s="13">
        <v>7</v>
      </c>
      <c r="C108" s="4">
        <f>(VLOOKUP(B108,SHK_grundløn[#All],2,FALSE)/12)*(1+$G$2)</f>
        <v>35105.835625</v>
      </c>
      <c r="E108" s="5">
        <f>(3100/12)*(1+$G$2)</f>
        <v>374.62337500000001</v>
      </c>
      <c r="H108" s="22">
        <f>Tabel2131[[#This Row],[Grundløn
Aktuelt niveau]]+Tabel2131[[#This Row],[Lokalt aftalt tillæg
Aktuelt niveau]]</f>
        <v>35480.459000000003</v>
      </c>
      <c r="I108" s="73">
        <v>0.15</v>
      </c>
      <c r="J108" s="1"/>
      <c r="K108" s="1"/>
    </row>
    <row r="109" spans="1:11" x14ac:dyDescent="0.25">
      <c r="A109" s="12" t="s">
        <v>103</v>
      </c>
      <c r="B109" s="13">
        <v>7</v>
      </c>
      <c r="C109" s="4">
        <f>(VLOOKUP(B109,SHK_grundløn[#All],2,FALSE)/12)*(1+$G$2)</f>
        <v>35105.835625</v>
      </c>
      <c r="E109" s="4">
        <f>(3100/12)*(1+$G$2)</f>
        <v>374.62337500000001</v>
      </c>
      <c r="H109" s="22">
        <f t="shared" ref="H109" si="24">SUM(C109:G109)</f>
        <v>35480.459000000003</v>
      </c>
      <c r="I109" s="73">
        <v>0.15</v>
      </c>
    </row>
    <row r="110" spans="1:11" x14ac:dyDescent="0.25">
      <c r="A110" s="12" t="s">
        <v>111</v>
      </c>
      <c r="B110" s="13">
        <v>7</v>
      </c>
      <c r="C110" s="4">
        <f>(VLOOKUP(B110,SHK_grundløn[#All],2,FALSE)/12)*(1+$G$2)</f>
        <v>35105.835625</v>
      </c>
      <c r="E110" s="4">
        <f>(8400/12)*(1+$G$2)</f>
        <v>1015.1085</v>
      </c>
      <c r="H110" s="22">
        <f>Tabel2131[[#This Row],[Grundløn
Aktuelt niveau]]+Tabel2131[[#This Row],[Lokalt aftalt tillæg
Aktuelt niveau]]</f>
        <v>36120.944125000002</v>
      </c>
      <c r="I110" s="73">
        <v>0.15</v>
      </c>
    </row>
    <row r="111" spans="1:11" x14ac:dyDescent="0.25">
      <c r="A111" s="12" t="s">
        <v>130</v>
      </c>
      <c r="B111" s="13">
        <v>7</v>
      </c>
      <c r="C111" s="4">
        <f>(VLOOKUP(B111,SHK_grundløn[#All],2,FALSE)/12)*(1+$G$2)</f>
        <v>35105.835625</v>
      </c>
      <c r="E111" s="4">
        <f>(12000/12)*(1+$G$2)</f>
        <v>1450.155</v>
      </c>
      <c r="H111" s="22">
        <f>Tabel2131[[#This Row],[Grundløn
Aktuelt niveau]]+Tabel2131[[#This Row],[Lokalt aftalt tillæg
Aktuelt niveau]]</f>
        <v>36555.990624999999</v>
      </c>
      <c r="I111" s="73">
        <v>0.15</v>
      </c>
    </row>
    <row r="112" spans="1:11" x14ac:dyDescent="0.25">
      <c r="A112" s="12" t="s">
        <v>131</v>
      </c>
      <c r="B112" s="13">
        <v>7</v>
      </c>
      <c r="C112" s="4">
        <f>(VLOOKUP(B112,SHK_grundløn[#All],2,FALSE)/12)*(1+$G$2)</f>
        <v>35105.835625</v>
      </c>
      <c r="E112" s="4">
        <f>(17700/12)*(1+$G$2)</f>
        <v>2138.9786250000002</v>
      </c>
      <c r="H112" s="22">
        <f>Tabel2131[[#This Row],[Grundløn
Aktuelt niveau]]+Tabel2131[[#This Row],[Lokalt aftalt tillæg
Aktuelt niveau]]</f>
        <v>37244.814250000003</v>
      </c>
      <c r="I112" s="73">
        <v>0.15</v>
      </c>
    </row>
    <row r="115" spans="1:9" ht="39" customHeight="1" x14ac:dyDescent="0.25">
      <c r="A115" s="50" t="s">
        <v>132</v>
      </c>
      <c r="B115" s="51" t="s">
        <v>7</v>
      </c>
      <c r="C115" s="48" t="s">
        <v>114</v>
      </c>
      <c r="D115" s="48" t="s">
        <v>115</v>
      </c>
      <c r="E115" s="48" t="s">
        <v>116</v>
      </c>
      <c r="F115" s="48" t="s">
        <v>117</v>
      </c>
      <c r="G115" s="48" t="s">
        <v>118</v>
      </c>
      <c r="H115" s="48" t="s">
        <v>119</v>
      </c>
      <c r="I115" s="48" t="s">
        <v>76</v>
      </c>
    </row>
    <row r="116" spans="1:9" x14ac:dyDescent="0.25">
      <c r="A116" t="s">
        <v>120</v>
      </c>
      <c r="B116" s="13">
        <v>8</v>
      </c>
      <c r="C116" s="5">
        <f>(VLOOKUP(B116,SHK_grundløn[#All],2,FALSE)/12)*(1+$G$2)</f>
        <v>36386.805875000005</v>
      </c>
      <c r="D116" s="5"/>
      <c r="E116" s="5">
        <f>(8400/12)*(1+$G$2)</f>
        <v>1015.1085</v>
      </c>
      <c r="H116" s="5">
        <f>Tabel6[[#This Row],[Grundløn
Aktuelt niveau]]+Tabel6[[#This Row],[Lokalt aftalt tillæg
Aktuelt niveau]]</f>
        <v>37401.914375000008</v>
      </c>
      <c r="I116" s="73">
        <v>0.15</v>
      </c>
    </row>
    <row r="117" spans="1:9" x14ac:dyDescent="0.25">
      <c r="A117" t="s">
        <v>106</v>
      </c>
      <c r="B117" s="13">
        <v>8</v>
      </c>
      <c r="C117" s="5">
        <f>(VLOOKUP(B117,SHK_grundløn[#All],2,FALSE)/12)*(1+$G$2)</f>
        <v>36386.805875000005</v>
      </c>
      <c r="D117" s="5"/>
      <c r="E117" s="5">
        <f>(17700/12)*(1+$G$2)</f>
        <v>2138.9786250000002</v>
      </c>
      <c r="H117" s="5">
        <f>Tabel6[[#This Row],[Grundløn
Aktuelt niveau]]+Tabel6[[#This Row],[Lokalt aftalt tillæg
Aktuelt niveau]]</f>
        <v>38525.784500000009</v>
      </c>
      <c r="I117" s="73">
        <v>0.15</v>
      </c>
    </row>
    <row r="118" spans="1:9" x14ac:dyDescent="0.25">
      <c r="A118" t="s">
        <v>133</v>
      </c>
      <c r="B118" s="13">
        <v>9</v>
      </c>
      <c r="C118" s="5">
        <f>(VLOOKUP(B118,SHK_grundløn[#All],2,FALSE)/12)*(1+$G$2)</f>
        <v>37667.776125000004</v>
      </c>
      <c r="D118" s="5"/>
      <c r="E118" s="5">
        <f>(8400/12)*(1+$G$2)</f>
        <v>1015.1085</v>
      </c>
      <c r="H118" s="5">
        <f>Tabel6[[#This Row],[Grundløn
Aktuelt niveau]]+Tabel6[[#This Row],[Lokalt aftalt tillæg
Aktuelt niveau]]</f>
        <v>38682.884625000006</v>
      </c>
      <c r="I118" s="73">
        <v>0.15</v>
      </c>
    </row>
    <row r="119" spans="1:9" x14ac:dyDescent="0.25">
      <c r="A119" t="s">
        <v>106</v>
      </c>
      <c r="B119" s="13">
        <v>9</v>
      </c>
      <c r="C119" s="5">
        <f>(VLOOKUP(B119,SHK_grundløn[#All],2,FALSE)/12)*(1+$G$2)</f>
        <v>37667.776125000004</v>
      </c>
      <c r="D119" s="5"/>
      <c r="E119" s="5">
        <f>(17700/12)*(1+$G$2)</f>
        <v>2138.9786250000002</v>
      </c>
      <c r="H119" s="5">
        <f>Tabel6[[#This Row],[Grundløn
Aktuelt niveau]]+Tabel6[[#This Row],[Lokalt aftalt tillæg
Aktuelt niveau]]</f>
        <v>39806.754750000007</v>
      </c>
      <c r="I119" s="73">
        <v>0.15</v>
      </c>
    </row>
    <row r="120" spans="1:9" x14ac:dyDescent="0.25">
      <c r="C120" s="5"/>
      <c r="D120" s="5"/>
      <c r="H120" s="5"/>
    </row>
  </sheetData>
  <mergeCells count="3">
    <mergeCell ref="E1:F1"/>
    <mergeCell ref="E2:F2"/>
    <mergeCell ref="F3:G3"/>
  </mergeCells>
  <pageMargins left="0.7" right="0.7" top="0.75" bottom="0.75" header="0.3" footer="0.3"/>
  <pageSetup paperSize="9" orientation="landscape" r:id="rId1"/>
  <ignoredErrors>
    <ignoredError sqref="C27 C28:D30 F27:H27 D19 F26:G26 F28:H30 H71:H76" calculatedColumn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55049-34A8-463B-8157-D0C6DE58441A}">
  <dimension ref="B1:Q61"/>
  <sheetViews>
    <sheetView topLeftCell="A5" workbookViewId="0">
      <selection activeCell="M30" sqref="M30"/>
    </sheetView>
  </sheetViews>
  <sheetFormatPr defaultColWidth="9.5703125" defaultRowHeight="15" x14ac:dyDescent="0.25"/>
  <cols>
    <col min="2" max="2" width="14.5703125" customWidth="1"/>
    <col min="3" max="3" width="15.7109375" customWidth="1"/>
    <col min="4" max="4" width="15.42578125" customWidth="1"/>
    <col min="5" max="5" width="20.140625" customWidth="1"/>
    <col min="7" max="7" width="17" bestFit="1" customWidth="1"/>
    <col min="8" max="8" width="32.7109375" customWidth="1"/>
    <col min="9" max="9" width="11.7109375" customWidth="1"/>
    <col min="10" max="10" width="16.7109375" customWidth="1"/>
    <col min="11" max="11" width="14.42578125" bestFit="1" customWidth="1"/>
    <col min="12" max="12" width="15.85546875" bestFit="1" customWidth="1"/>
    <col min="13" max="13" width="20.7109375" bestFit="1" customWidth="1"/>
    <col min="15" max="15" width="19.7109375" bestFit="1" customWidth="1"/>
    <col min="16" max="16" width="13.42578125" bestFit="1" customWidth="1"/>
    <col min="17" max="17" width="14.42578125" bestFit="1" customWidth="1"/>
  </cols>
  <sheetData>
    <row r="1" spans="2:13" ht="17.100000000000001" customHeight="1" x14ac:dyDescent="0.25">
      <c r="D1" s="10"/>
    </row>
    <row r="2" spans="2:13" ht="17.100000000000001" customHeight="1" x14ac:dyDescent="0.3">
      <c r="B2" s="26" t="s">
        <v>134</v>
      </c>
      <c r="G2" s="26" t="s">
        <v>135</v>
      </c>
      <c r="J2" s="26" t="s">
        <v>136</v>
      </c>
    </row>
    <row r="3" spans="2:13" ht="17.100000000000001" customHeight="1" x14ac:dyDescent="0.25">
      <c r="B3" s="3" t="s">
        <v>7</v>
      </c>
      <c r="C3" s="3" t="s">
        <v>137</v>
      </c>
      <c r="D3" s="3" t="s">
        <v>138</v>
      </c>
      <c r="E3" s="3" t="s">
        <v>139</v>
      </c>
      <c r="G3" t="s">
        <v>140</v>
      </c>
      <c r="H3" t="s">
        <v>141</v>
      </c>
      <c r="J3" t="s">
        <v>140</v>
      </c>
      <c r="K3" t="s">
        <v>142</v>
      </c>
      <c r="L3" t="s">
        <v>138</v>
      </c>
      <c r="M3" t="s">
        <v>139</v>
      </c>
    </row>
    <row r="4" spans="2:13" ht="17.100000000000001" customHeight="1" x14ac:dyDescent="0.25">
      <c r="B4">
        <v>1</v>
      </c>
      <c r="C4" s="29">
        <v>147194</v>
      </c>
      <c r="D4" s="29">
        <v>0</v>
      </c>
      <c r="E4" s="29">
        <f>C4+D4</f>
        <v>147194</v>
      </c>
      <c r="G4">
        <v>1</v>
      </c>
      <c r="H4" s="29">
        <v>204626</v>
      </c>
      <c r="J4">
        <v>1</v>
      </c>
      <c r="K4" s="29">
        <v>220181</v>
      </c>
      <c r="L4" s="30">
        <v>9099</v>
      </c>
      <c r="M4" s="29">
        <f t="shared" ref="M4:M12" si="0">K4+L4</f>
        <v>229280</v>
      </c>
    </row>
    <row r="5" spans="2:13" ht="17.100000000000001" customHeight="1" x14ac:dyDescent="0.25">
      <c r="B5">
        <v>2</v>
      </c>
      <c r="C5" s="29">
        <v>149455</v>
      </c>
      <c r="D5" s="29">
        <v>0</v>
      </c>
      <c r="E5" s="29">
        <f t="shared" ref="E5:E59" si="1">C5+D5</f>
        <v>149455</v>
      </c>
      <c r="G5">
        <v>2</v>
      </c>
      <c r="H5" s="29">
        <v>213492</v>
      </c>
      <c r="J5">
        <v>2</v>
      </c>
      <c r="K5" s="29">
        <v>224681</v>
      </c>
      <c r="L5" s="31">
        <v>9567</v>
      </c>
      <c r="M5" s="29">
        <f t="shared" si="0"/>
        <v>234248</v>
      </c>
    </row>
    <row r="6" spans="2:13" ht="17.100000000000001" customHeight="1" x14ac:dyDescent="0.25">
      <c r="B6" s="28">
        <v>3</v>
      </c>
      <c r="C6" s="29">
        <v>151777</v>
      </c>
      <c r="D6" s="29">
        <v>0</v>
      </c>
      <c r="E6" s="29">
        <f t="shared" si="1"/>
        <v>151777</v>
      </c>
      <c r="G6">
        <v>4</v>
      </c>
      <c r="H6" s="29">
        <v>235185</v>
      </c>
      <c r="J6">
        <v>3</v>
      </c>
      <c r="K6" s="29">
        <v>235201</v>
      </c>
      <c r="L6" s="31">
        <v>10061</v>
      </c>
      <c r="M6" s="29">
        <f t="shared" si="0"/>
        <v>245262</v>
      </c>
    </row>
    <row r="7" spans="2:13" ht="17.100000000000001" customHeight="1" x14ac:dyDescent="0.25">
      <c r="B7">
        <v>4</v>
      </c>
      <c r="C7" s="29">
        <v>154163</v>
      </c>
      <c r="D7" s="29">
        <v>0</v>
      </c>
      <c r="E7" s="29">
        <f t="shared" si="1"/>
        <v>154163</v>
      </c>
      <c r="G7">
        <v>5</v>
      </c>
      <c r="H7" s="29">
        <v>250483</v>
      </c>
      <c r="J7">
        <v>4</v>
      </c>
      <c r="K7" s="29">
        <v>243700</v>
      </c>
      <c r="L7" s="31">
        <v>9786</v>
      </c>
      <c r="M7" s="29">
        <f t="shared" si="0"/>
        <v>253486</v>
      </c>
    </row>
    <row r="8" spans="2:13" ht="17.100000000000001" customHeight="1" x14ac:dyDescent="0.25">
      <c r="B8">
        <v>5</v>
      </c>
      <c r="C8" s="29">
        <v>156614</v>
      </c>
      <c r="D8" s="29">
        <v>0</v>
      </c>
      <c r="E8" s="29">
        <f t="shared" si="1"/>
        <v>156614</v>
      </c>
      <c r="G8">
        <v>6</v>
      </c>
      <c r="H8" s="29">
        <v>263139</v>
      </c>
      <c r="J8">
        <v>5</v>
      </c>
      <c r="K8" s="29">
        <v>251500</v>
      </c>
      <c r="L8" s="31">
        <v>8553</v>
      </c>
      <c r="M8" s="29">
        <f t="shared" si="0"/>
        <v>260053</v>
      </c>
    </row>
    <row r="9" spans="2:13" ht="17.100000000000001" customHeight="1" x14ac:dyDescent="0.25">
      <c r="B9">
        <v>6</v>
      </c>
      <c r="C9" s="29">
        <v>159135</v>
      </c>
      <c r="D9" s="29">
        <v>0</v>
      </c>
      <c r="E9" s="29">
        <f t="shared" si="1"/>
        <v>159135</v>
      </c>
      <c r="G9">
        <v>7</v>
      </c>
      <c r="H9" s="29">
        <v>270264</v>
      </c>
      <c r="J9">
        <v>6</v>
      </c>
      <c r="K9" s="29">
        <v>279400</v>
      </c>
      <c r="L9" s="31">
        <v>6481</v>
      </c>
      <c r="M9" s="29">
        <f t="shared" si="0"/>
        <v>285881</v>
      </c>
    </row>
    <row r="10" spans="2:13" ht="17.100000000000001" customHeight="1" x14ac:dyDescent="0.25">
      <c r="B10">
        <v>7</v>
      </c>
      <c r="C10" s="29">
        <v>161721</v>
      </c>
      <c r="D10" s="29">
        <v>0</v>
      </c>
      <c r="E10" s="29">
        <f t="shared" si="1"/>
        <v>161721</v>
      </c>
      <c r="G10">
        <v>8</v>
      </c>
      <c r="H10" s="29">
        <v>288539</v>
      </c>
      <c r="J10">
        <v>7</v>
      </c>
      <c r="K10" s="29">
        <v>290500</v>
      </c>
      <c r="L10" s="31">
        <v>5459</v>
      </c>
      <c r="M10" s="29">
        <f t="shared" si="0"/>
        <v>295959</v>
      </c>
    </row>
    <row r="11" spans="2:13" ht="17.100000000000001" customHeight="1" x14ac:dyDescent="0.25">
      <c r="B11">
        <v>8</v>
      </c>
      <c r="C11" s="29">
        <v>164477</v>
      </c>
      <c r="D11" s="29">
        <v>0</v>
      </c>
      <c r="E11" s="29">
        <f t="shared" si="1"/>
        <v>164477</v>
      </c>
      <c r="J11">
        <v>8</v>
      </c>
      <c r="K11" s="29">
        <v>301100</v>
      </c>
      <c r="L11" s="31">
        <v>4312</v>
      </c>
      <c r="M11" s="29">
        <f t="shared" si="0"/>
        <v>305412</v>
      </c>
    </row>
    <row r="12" spans="2:13" ht="17.100000000000001" customHeight="1" x14ac:dyDescent="0.25">
      <c r="B12">
        <v>9</v>
      </c>
      <c r="C12" s="29">
        <v>169651</v>
      </c>
      <c r="D12" s="29">
        <v>0</v>
      </c>
      <c r="E12" s="29">
        <f t="shared" si="1"/>
        <v>169651</v>
      </c>
      <c r="G12" t="s">
        <v>143</v>
      </c>
      <c r="H12" t="s">
        <v>144</v>
      </c>
      <c r="J12">
        <v>9</v>
      </c>
      <c r="K12" s="29">
        <v>311700</v>
      </c>
      <c r="L12" s="32">
        <v>3086</v>
      </c>
      <c r="M12" s="29">
        <f t="shared" si="0"/>
        <v>314786</v>
      </c>
    </row>
    <row r="13" spans="2:13" ht="17.100000000000001" customHeight="1" x14ac:dyDescent="0.25">
      <c r="B13">
        <v>10</v>
      </c>
      <c r="C13" s="29">
        <v>170849</v>
      </c>
      <c r="D13" s="29">
        <v>0</v>
      </c>
      <c r="E13" s="29">
        <f t="shared" si="1"/>
        <v>170849</v>
      </c>
      <c r="G13">
        <v>0</v>
      </c>
      <c r="H13" s="4">
        <v>25069.5</v>
      </c>
    </row>
    <row r="14" spans="2:13" ht="17.100000000000001" customHeight="1" x14ac:dyDescent="0.25">
      <c r="B14">
        <v>11</v>
      </c>
      <c r="C14" s="29">
        <v>175370</v>
      </c>
      <c r="D14" s="29">
        <v>0</v>
      </c>
      <c r="E14" s="29">
        <f t="shared" si="1"/>
        <v>175370</v>
      </c>
      <c r="G14">
        <v>1</v>
      </c>
      <c r="H14" s="4">
        <v>28787.03</v>
      </c>
    </row>
    <row r="15" spans="2:13" ht="17.100000000000001" customHeight="1" x14ac:dyDescent="0.25">
      <c r="B15">
        <v>12</v>
      </c>
      <c r="C15" s="29">
        <v>178335</v>
      </c>
      <c r="D15" s="29">
        <v>0</v>
      </c>
      <c r="E15" s="29">
        <f t="shared" si="1"/>
        <v>178335</v>
      </c>
      <c r="G15">
        <v>2</v>
      </c>
      <c r="H15" s="4">
        <v>28787.03</v>
      </c>
    </row>
    <row r="16" spans="2:13" ht="17.100000000000001" customHeight="1" x14ac:dyDescent="0.25">
      <c r="B16">
        <v>13</v>
      </c>
      <c r="C16" s="29">
        <v>181384</v>
      </c>
      <c r="D16" s="29">
        <v>0</v>
      </c>
      <c r="E16" s="29">
        <f t="shared" si="1"/>
        <v>181384</v>
      </c>
      <c r="G16">
        <v>4</v>
      </c>
      <c r="H16" s="4">
        <v>32981.160000000003</v>
      </c>
    </row>
    <row r="17" spans="2:17" ht="17.100000000000001" customHeight="1" x14ac:dyDescent="0.25">
      <c r="B17">
        <v>14</v>
      </c>
      <c r="C17" s="29">
        <v>184517</v>
      </c>
      <c r="D17" s="29">
        <v>0</v>
      </c>
      <c r="E17" s="29">
        <f t="shared" si="1"/>
        <v>184517</v>
      </c>
      <c r="G17">
        <v>5</v>
      </c>
      <c r="H17" s="4">
        <v>32981.160000000003</v>
      </c>
    </row>
    <row r="18" spans="2:17" ht="17.100000000000001" customHeight="1" x14ac:dyDescent="0.25">
      <c r="B18">
        <v>15</v>
      </c>
      <c r="C18" s="29">
        <v>186343</v>
      </c>
      <c r="D18" s="29">
        <v>0</v>
      </c>
      <c r="E18" s="29">
        <f t="shared" si="1"/>
        <v>186343</v>
      </c>
      <c r="G18">
        <v>6</v>
      </c>
      <c r="H18" s="4">
        <v>37651.910000000003</v>
      </c>
    </row>
    <row r="19" spans="2:17" ht="17.100000000000001" customHeight="1" x14ac:dyDescent="0.25">
      <c r="B19">
        <v>16</v>
      </c>
      <c r="C19" s="29">
        <v>189510</v>
      </c>
      <c r="D19" s="29">
        <v>0</v>
      </c>
      <c r="E19" s="29">
        <f t="shared" si="1"/>
        <v>189510</v>
      </c>
      <c r="G19">
        <v>7</v>
      </c>
      <c r="H19" s="4">
        <v>37651.910000000003</v>
      </c>
    </row>
    <row r="20" spans="2:17" ht="17.100000000000001" customHeight="1" x14ac:dyDescent="0.25">
      <c r="B20">
        <v>17</v>
      </c>
      <c r="C20" s="29">
        <v>192141</v>
      </c>
      <c r="D20" s="29">
        <v>0</v>
      </c>
      <c r="E20" s="29">
        <f t="shared" si="1"/>
        <v>192141</v>
      </c>
      <c r="G20">
        <v>8</v>
      </c>
      <c r="H20" s="4">
        <v>47184.03</v>
      </c>
    </row>
    <row r="21" spans="2:17" ht="17.100000000000001" customHeight="1" x14ac:dyDescent="0.25">
      <c r="B21">
        <v>18</v>
      </c>
      <c r="C21" s="29">
        <v>195650</v>
      </c>
      <c r="D21" s="29">
        <v>0</v>
      </c>
      <c r="E21" s="29">
        <f t="shared" si="1"/>
        <v>195650</v>
      </c>
    </row>
    <row r="22" spans="2:17" ht="17.100000000000001" customHeight="1" x14ac:dyDescent="0.25">
      <c r="B22">
        <v>19</v>
      </c>
      <c r="C22" s="29">
        <v>198277</v>
      </c>
      <c r="D22" s="29">
        <v>0</v>
      </c>
      <c r="E22" s="29">
        <f t="shared" si="1"/>
        <v>198277</v>
      </c>
    </row>
    <row r="23" spans="2:17" ht="17.100000000000001" customHeight="1" x14ac:dyDescent="0.25">
      <c r="B23">
        <v>20</v>
      </c>
      <c r="C23" s="29">
        <v>200622</v>
      </c>
      <c r="D23" s="29">
        <v>0</v>
      </c>
      <c r="E23" s="29">
        <f t="shared" si="1"/>
        <v>200622</v>
      </c>
    </row>
    <row r="24" spans="2:17" ht="17.100000000000001" customHeight="1" x14ac:dyDescent="0.25">
      <c r="B24">
        <v>21</v>
      </c>
      <c r="C24" s="29">
        <v>203939</v>
      </c>
      <c r="D24" s="29">
        <v>0</v>
      </c>
      <c r="E24" s="29">
        <f t="shared" si="1"/>
        <v>203939</v>
      </c>
    </row>
    <row r="25" spans="2:17" ht="17.100000000000001" customHeight="1" x14ac:dyDescent="0.25">
      <c r="B25">
        <v>22</v>
      </c>
      <c r="C25" s="29">
        <v>206362</v>
      </c>
      <c r="D25" s="29">
        <v>0</v>
      </c>
      <c r="E25" s="29">
        <f t="shared" si="1"/>
        <v>206362</v>
      </c>
    </row>
    <row r="26" spans="2:17" ht="17.100000000000001" customHeight="1" x14ac:dyDescent="0.25">
      <c r="B26">
        <v>23</v>
      </c>
      <c r="C26" s="29">
        <v>209653</v>
      </c>
      <c r="D26" s="29">
        <v>0</v>
      </c>
      <c r="E26" s="29">
        <f t="shared" si="1"/>
        <v>209653</v>
      </c>
    </row>
    <row r="27" spans="2:17" ht="17.100000000000001" customHeight="1" x14ac:dyDescent="0.25">
      <c r="B27">
        <v>24</v>
      </c>
      <c r="C27" s="29">
        <v>213049</v>
      </c>
      <c r="D27" s="29">
        <v>0</v>
      </c>
      <c r="E27" s="29">
        <f t="shared" si="1"/>
        <v>213049</v>
      </c>
      <c r="J27" s="25" t="s">
        <v>145</v>
      </c>
    </row>
    <row r="28" spans="2:17" ht="17.100000000000001" customHeight="1" x14ac:dyDescent="0.25">
      <c r="B28">
        <v>25</v>
      </c>
      <c r="C28" s="29">
        <v>216516</v>
      </c>
      <c r="D28" s="29">
        <v>0</v>
      </c>
      <c r="E28" s="29">
        <f t="shared" si="1"/>
        <v>216516</v>
      </c>
      <c r="L28" s="78" t="s">
        <v>146</v>
      </c>
      <c r="M28" s="78"/>
      <c r="O28" s="78" t="s">
        <v>147</v>
      </c>
      <c r="P28" s="78"/>
    </row>
    <row r="29" spans="2:17" ht="17.100000000000001" customHeight="1" x14ac:dyDescent="0.25">
      <c r="B29">
        <v>26</v>
      </c>
      <c r="C29" s="29">
        <v>220063</v>
      </c>
      <c r="D29" s="29">
        <v>0</v>
      </c>
      <c r="E29" s="29">
        <f t="shared" si="1"/>
        <v>220063</v>
      </c>
      <c r="K29" t="s">
        <v>148</v>
      </c>
      <c r="L29" s="3" t="s">
        <v>149</v>
      </c>
      <c r="M29" s="3" t="s">
        <v>150</v>
      </c>
      <c r="O29" s="3" t="s">
        <v>150</v>
      </c>
      <c r="P29" s="3" t="s">
        <v>149</v>
      </c>
    </row>
    <row r="30" spans="2:17" ht="17.100000000000001" customHeight="1" x14ac:dyDescent="0.25">
      <c r="B30">
        <v>27</v>
      </c>
      <c r="C30" s="29">
        <v>223691</v>
      </c>
      <c r="D30" s="29">
        <v>0</v>
      </c>
      <c r="E30" s="29">
        <f t="shared" si="1"/>
        <v>223691</v>
      </c>
      <c r="J30" s="44" t="s">
        <v>151</v>
      </c>
      <c r="K30" s="6">
        <f>'Lønoversigt pr. måned'!$G$1</f>
        <v>0.65337800000000001</v>
      </c>
      <c r="L30" s="7">
        <v>20000</v>
      </c>
      <c r="M30" s="8">
        <f>L30*(1+K30)</f>
        <v>33067.56</v>
      </c>
      <c r="O30" s="9">
        <v>100</v>
      </c>
      <c r="P30" s="8">
        <f>O30/(1+K30)</f>
        <v>60.482236971823745</v>
      </c>
      <c r="Q30" s="5"/>
    </row>
    <row r="31" spans="2:17" ht="17.100000000000001" customHeight="1" x14ac:dyDescent="0.25">
      <c r="B31">
        <v>28</v>
      </c>
      <c r="C31" s="29">
        <v>227399</v>
      </c>
      <c r="D31" s="29">
        <v>0</v>
      </c>
      <c r="E31" s="29">
        <f t="shared" si="1"/>
        <v>227399</v>
      </c>
      <c r="K31" s="6"/>
    </row>
    <row r="32" spans="2:17" ht="17.100000000000001" customHeight="1" x14ac:dyDescent="0.25">
      <c r="B32">
        <v>29</v>
      </c>
      <c r="C32" s="29">
        <v>231191</v>
      </c>
      <c r="D32" s="29">
        <v>0</v>
      </c>
      <c r="E32" s="29">
        <f t="shared" si="1"/>
        <v>231191</v>
      </c>
      <c r="J32" s="44" t="s">
        <v>52</v>
      </c>
      <c r="K32" s="6">
        <f>'Lønoversigt pr. måned'!$G$2</f>
        <v>0.45015500000000003</v>
      </c>
      <c r="L32" s="7">
        <v>100</v>
      </c>
      <c r="M32" s="8">
        <f>L32*(1+K32)</f>
        <v>145.0155</v>
      </c>
      <c r="O32" s="9">
        <v>100</v>
      </c>
      <c r="P32" s="8">
        <f>O32/(1+K32)</f>
        <v>68.95814585337429</v>
      </c>
    </row>
    <row r="33" spans="2:5" ht="17.100000000000001" customHeight="1" x14ac:dyDescent="0.25">
      <c r="B33">
        <v>30</v>
      </c>
      <c r="C33" s="29">
        <v>235065</v>
      </c>
      <c r="D33" s="29">
        <v>0</v>
      </c>
      <c r="E33" s="29">
        <f t="shared" si="1"/>
        <v>235065</v>
      </c>
    </row>
    <row r="34" spans="2:5" ht="17.100000000000001" customHeight="1" x14ac:dyDescent="0.25">
      <c r="B34">
        <v>31</v>
      </c>
      <c r="C34" s="29">
        <v>239027</v>
      </c>
      <c r="D34" s="29">
        <v>0</v>
      </c>
      <c r="E34" s="29">
        <f t="shared" si="1"/>
        <v>239027</v>
      </c>
    </row>
    <row r="35" spans="2:5" ht="17.100000000000001" customHeight="1" x14ac:dyDescent="0.25">
      <c r="B35">
        <v>32</v>
      </c>
      <c r="C35" s="29">
        <v>243077</v>
      </c>
      <c r="D35" s="29">
        <v>0</v>
      </c>
      <c r="E35" s="29">
        <f t="shared" si="1"/>
        <v>243077</v>
      </c>
    </row>
    <row r="36" spans="2:5" ht="17.100000000000001" customHeight="1" x14ac:dyDescent="0.25">
      <c r="B36">
        <v>33</v>
      </c>
      <c r="C36" s="29">
        <v>247215</v>
      </c>
      <c r="D36" s="29">
        <v>0</v>
      </c>
      <c r="E36" s="29">
        <f t="shared" si="1"/>
        <v>247215</v>
      </c>
    </row>
    <row r="37" spans="2:5" ht="17.100000000000001" customHeight="1" x14ac:dyDescent="0.25">
      <c r="B37">
        <v>34</v>
      </c>
      <c r="C37" s="29">
        <v>251449</v>
      </c>
      <c r="D37" s="29">
        <v>0</v>
      </c>
      <c r="E37" s="29">
        <f t="shared" si="1"/>
        <v>251449</v>
      </c>
    </row>
    <row r="38" spans="2:5" ht="17.100000000000001" customHeight="1" x14ac:dyDescent="0.25">
      <c r="B38">
        <v>35</v>
      </c>
      <c r="C38" s="29">
        <v>255772</v>
      </c>
      <c r="D38" s="29">
        <v>0</v>
      </c>
      <c r="E38" s="29">
        <f t="shared" si="1"/>
        <v>255772</v>
      </c>
    </row>
    <row r="39" spans="2:5" ht="17.100000000000001" customHeight="1" x14ac:dyDescent="0.25">
      <c r="B39">
        <v>36</v>
      </c>
      <c r="C39" s="29">
        <v>260194</v>
      </c>
      <c r="D39" s="29">
        <v>0</v>
      </c>
      <c r="E39" s="29">
        <f t="shared" si="1"/>
        <v>260194</v>
      </c>
    </row>
    <row r="40" spans="2:5" ht="17.100000000000001" customHeight="1" x14ac:dyDescent="0.25">
      <c r="B40">
        <v>37</v>
      </c>
      <c r="C40" s="29">
        <v>264712</v>
      </c>
      <c r="D40" s="29">
        <v>0</v>
      </c>
      <c r="E40" s="29">
        <f t="shared" si="1"/>
        <v>264712</v>
      </c>
    </row>
    <row r="41" spans="2:5" ht="17.100000000000001" customHeight="1" x14ac:dyDescent="0.25">
      <c r="B41">
        <v>38</v>
      </c>
      <c r="C41" s="29">
        <v>269508</v>
      </c>
      <c r="D41" s="29">
        <v>0</v>
      </c>
      <c r="E41" s="29">
        <f t="shared" si="1"/>
        <v>269508</v>
      </c>
    </row>
    <row r="42" spans="2:5" ht="17.100000000000001" customHeight="1" x14ac:dyDescent="0.25">
      <c r="B42">
        <v>39</v>
      </c>
      <c r="C42" s="29">
        <v>274323</v>
      </c>
      <c r="D42" s="29">
        <v>0</v>
      </c>
      <c r="E42" s="29">
        <f t="shared" si="1"/>
        <v>274323</v>
      </c>
    </row>
    <row r="43" spans="2:5" ht="17.100000000000001" customHeight="1" x14ac:dyDescent="0.25">
      <c r="B43">
        <v>40</v>
      </c>
      <c r="C43" s="29">
        <v>279247</v>
      </c>
      <c r="D43" s="29">
        <v>0</v>
      </c>
      <c r="E43" s="29">
        <f t="shared" si="1"/>
        <v>279247</v>
      </c>
    </row>
    <row r="44" spans="2:5" ht="17.100000000000001" customHeight="1" x14ac:dyDescent="0.25">
      <c r="B44">
        <v>41</v>
      </c>
      <c r="C44" s="29">
        <v>284278</v>
      </c>
      <c r="D44" s="29">
        <v>0</v>
      </c>
      <c r="E44" s="29">
        <f t="shared" si="1"/>
        <v>284278</v>
      </c>
    </row>
    <row r="45" spans="2:5" ht="17.100000000000001" customHeight="1" x14ac:dyDescent="0.25">
      <c r="B45">
        <v>42</v>
      </c>
      <c r="C45" s="29">
        <v>289418</v>
      </c>
      <c r="D45" s="29">
        <v>0</v>
      </c>
      <c r="E45" s="29">
        <f t="shared" si="1"/>
        <v>289418</v>
      </c>
    </row>
    <row r="46" spans="2:5" ht="17.100000000000001" customHeight="1" x14ac:dyDescent="0.25">
      <c r="B46">
        <v>43</v>
      </c>
      <c r="C46" s="29">
        <v>295850</v>
      </c>
      <c r="D46" s="29">
        <v>0</v>
      </c>
      <c r="E46" s="29">
        <f t="shared" si="1"/>
        <v>295850</v>
      </c>
    </row>
    <row r="47" spans="2:5" ht="17.100000000000001" customHeight="1" x14ac:dyDescent="0.25">
      <c r="B47">
        <v>44</v>
      </c>
      <c r="C47" s="29">
        <v>302460</v>
      </c>
      <c r="D47" s="29">
        <v>0</v>
      </c>
      <c r="E47" s="29">
        <f t="shared" si="1"/>
        <v>302460</v>
      </c>
    </row>
    <row r="48" spans="2:5" ht="17.100000000000001" customHeight="1" x14ac:dyDescent="0.25">
      <c r="B48">
        <v>45</v>
      </c>
      <c r="C48" s="29">
        <v>309251</v>
      </c>
      <c r="D48" s="29">
        <v>0</v>
      </c>
      <c r="E48" s="29">
        <f t="shared" si="1"/>
        <v>309251</v>
      </c>
    </row>
    <row r="49" spans="2:5" ht="17.100000000000001" customHeight="1" x14ac:dyDescent="0.25">
      <c r="B49">
        <v>46</v>
      </c>
      <c r="C49" s="29">
        <v>316229</v>
      </c>
      <c r="D49" s="29">
        <v>0</v>
      </c>
      <c r="E49" s="29">
        <f t="shared" si="1"/>
        <v>316229</v>
      </c>
    </row>
    <row r="50" spans="2:5" ht="17.100000000000001" customHeight="1" x14ac:dyDescent="0.25">
      <c r="B50">
        <v>47</v>
      </c>
      <c r="C50" s="29">
        <v>321858</v>
      </c>
      <c r="D50" s="29">
        <v>0</v>
      </c>
      <c r="E50" s="29">
        <f t="shared" si="1"/>
        <v>321858</v>
      </c>
    </row>
    <row r="51" spans="2:5" ht="17.100000000000001" customHeight="1" x14ac:dyDescent="0.25">
      <c r="B51">
        <v>48</v>
      </c>
      <c r="C51" s="29">
        <v>336653</v>
      </c>
      <c r="D51" s="29">
        <v>0</v>
      </c>
      <c r="E51" s="29">
        <f t="shared" si="1"/>
        <v>336653</v>
      </c>
    </row>
    <row r="52" spans="2:5" ht="17.100000000000001" customHeight="1" x14ac:dyDescent="0.25">
      <c r="B52">
        <v>49</v>
      </c>
      <c r="C52" s="29">
        <v>359246</v>
      </c>
      <c r="D52" s="29">
        <v>0</v>
      </c>
      <c r="E52" s="29">
        <f t="shared" si="1"/>
        <v>359246</v>
      </c>
    </row>
    <row r="53" spans="2:5" ht="17.100000000000001" customHeight="1" x14ac:dyDescent="0.25">
      <c r="B53">
        <v>50</v>
      </c>
      <c r="C53" s="29">
        <v>384324</v>
      </c>
      <c r="D53" s="29">
        <v>0</v>
      </c>
      <c r="E53" s="29">
        <f t="shared" si="1"/>
        <v>384324</v>
      </c>
    </row>
    <row r="54" spans="2:5" ht="17.100000000000001" customHeight="1" x14ac:dyDescent="0.25">
      <c r="B54">
        <v>51</v>
      </c>
      <c r="C54" s="29">
        <v>424514</v>
      </c>
      <c r="D54" s="29">
        <v>0</v>
      </c>
      <c r="E54" s="29">
        <f t="shared" si="1"/>
        <v>424514</v>
      </c>
    </row>
    <row r="55" spans="2:5" ht="17.100000000000001" customHeight="1" x14ac:dyDescent="0.25">
      <c r="B55">
        <v>52</v>
      </c>
      <c r="C55" s="29">
        <v>483044</v>
      </c>
      <c r="D55" s="29">
        <v>0</v>
      </c>
      <c r="E55" s="29">
        <f t="shared" si="1"/>
        <v>483044</v>
      </c>
    </row>
    <row r="56" spans="2:5" ht="17.100000000000001" customHeight="1" x14ac:dyDescent="0.25">
      <c r="B56">
        <v>53</v>
      </c>
      <c r="C56" s="29">
        <v>530364</v>
      </c>
      <c r="D56" s="29">
        <v>0</v>
      </c>
      <c r="E56" s="29">
        <f t="shared" si="1"/>
        <v>530364</v>
      </c>
    </row>
    <row r="57" spans="2:5" ht="17.100000000000001" customHeight="1" x14ac:dyDescent="0.25">
      <c r="B57">
        <v>54</v>
      </c>
      <c r="C57" s="29">
        <v>593449</v>
      </c>
      <c r="D57" s="29">
        <v>0</v>
      </c>
      <c r="E57" s="29">
        <f t="shared" si="1"/>
        <v>593449</v>
      </c>
    </row>
    <row r="58" spans="2:5" ht="17.100000000000001" customHeight="1" x14ac:dyDescent="0.25">
      <c r="B58">
        <v>55</v>
      </c>
      <c r="C58" s="29">
        <v>669278</v>
      </c>
      <c r="D58" s="29">
        <v>0</v>
      </c>
      <c r="E58" s="29">
        <f t="shared" si="1"/>
        <v>669278</v>
      </c>
    </row>
    <row r="59" spans="2:5" ht="17.100000000000001" customHeight="1" x14ac:dyDescent="0.25">
      <c r="B59">
        <v>56</v>
      </c>
      <c r="C59" s="29">
        <v>754309</v>
      </c>
      <c r="D59" s="29">
        <v>0</v>
      </c>
      <c r="E59" s="29">
        <f t="shared" si="1"/>
        <v>754309</v>
      </c>
    </row>
    <row r="60" spans="2:5" ht="17.100000000000001" customHeight="1" x14ac:dyDescent="0.25"/>
    <row r="61" spans="2:5" ht="17.100000000000001" customHeight="1" x14ac:dyDescent="0.25"/>
  </sheetData>
  <mergeCells count="2">
    <mergeCell ref="L28:M28"/>
    <mergeCell ref="O28:P28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154956BE014EA7F0BDEF849F557A" ma:contentTypeVersion="16" ma:contentTypeDescription="Opret et nyt dokument." ma:contentTypeScope="" ma:versionID="403afcdee5fa4dffd86daf66ac9fd121">
  <xsd:schema xmlns:xsd="http://www.w3.org/2001/XMLSchema" xmlns:xs="http://www.w3.org/2001/XMLSchema" xmlns:p="http://schemas.microsoft.com/office/2006/metadata/properties" xmlns:ns2="08bf99ea-826d-4777-b51c-abc411b93fdf" xmlns:ns3="8b3bf808-90a1-4f81-9af7-2388452b3c0b" targetNamespace="http://schemas.microsoft.com/office/2006/metadata/properties" ma:root="true" ma:fieldsID="74196a251d09da5b2b63b3694682be60" ns2:_="" ns3:_="">
    <xsd:import namespace="08bf99ea-826d-4777-b51c-abc411b93fdf"/>
    <xsd:import namespace="8b3bf808-90a1-4f81-9af7-2388452b3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f99ea-826d-4777-b51c-abc411b93f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25a35b23-31c6-4664-abed-16f98fb0a3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bf808-90a1-4f81-9af7-2388452b3c0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9445318-8da0-4db3-9f35-c2603b1fbe09}" ma:internalName="TaxCatchAll" ma:showField="CatchAllData" ma:web="8b3bf808-90a1-4f81-9af7-2388452b3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3bf808-90a1-4f81-9af7-2388452b3c0b" xsi:nil="true"/>
    <lcf76f155ced4ddcb4097134ff3c332f xmlns="08bf99ea-826d-4777-b51c-abc411b93f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26B14D-4B88-4BFF-96B3-718F16C2A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bf99ea-826d-4777-b51c-abc411b93fdf"/>
    <ds:schemaRef ds:uri="8b3bf808-90a1-4f81-9af7-2388452b3c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FA4913-2769-48C2-8798-BF5E05C7C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003378-3EE5-4896-AB38-A79E2C91EF8A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8b3bf808-90a1-4f81-9af7-2388452b3c0b"/>
    <ds:schemaRef ds:uri="http://schemas.microsoft.com/office/infopath/2007/PartnerControls"/>
    <ds:schemaRef ds:uri="http://schemas.openxmlformats.org/package/2006/metadata/core-properties"/>
    <ds:schemaRef ds:uri="08bf99ea-826d-4777-b51c-abc411b93f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Lønoversigt pr. måned</vt:lpstr>
      <vt:lpstr>Lønoversigt pr. måned nutidskr.</vt:lpstr>
      <vt:lpstr>Løntrin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 Ahrentecht Jensen</dc:creator>
  <cp:keywords/>
  <dc:description/>
  <cp:lastModifiedBy>Kamilla Borck Hartman</cp:lastModifiedBy>
  <cp:revision/>
  <cp:lastPrinted>2026-07-07T09:30:42Z</cp:lastPrinted>
  <dcterms:created xsi:type="dcterms:W3CDTF">2026-05-04T08:38:39Z</dcterms:created>
  <dcterms:modified xsi:type="dcterms:W3CDTF">2026-07-07T09:32:41Z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0x010100D3B0154956BE014EA7F0BDEF849F557A</vt:lpwstr>
  </property>
  <property fmtid="{D5CDD505-2E9C-101B-9397-08002B2CF9AE}" pid="3" name="MediaServiceImageTags">
    <vt:lpwstr/>
  </property>
  <property fmtid="{D5CDD505-2E9C-101B-9397-08002B2CF9AE}" pid="4" name="_AdHocReviewCycleID">
    <vt:i4>1789032425</vt:i4>
  </property>
  <property fmtid="{D5CDD505-2E9C-101B-9397-08002B2CF9AE}" pid="5" name="_NewReviewCycle">
    <vt:lpwstr/>
  </property>
  <property fmtid="{D5CDD505-2E9C-101B-9397-08002B2CF9AE}" pid="6" name="_EmailSubject">
    <vt:lpwstr>UDKAST - Løngennemsigtighed – adgang til startløn og gennemsnitsløn</vt:lpwstr>
  </property>
  <property fmtid="{D5CDD505-2E9C-101B-9397-08002B2CF9AE}" pid="7" name="_AuthorEmail">
    <vt:lpwstr>kasha@odsherred.dk</vt:lpwstr>
  </property>
  <property fmtid="{D5CDD505-2E9C-101B-9397-08002B2CF9AE}" pid="8" name="_AuthorEmailDisplayName">
    <vt:lpwstr>Kamilla Borck Hartman</vt:lpwstr>
  </property>
  <property fmtid="{D5CDD505-2E9C-101B-9397-08002B2CF9AE}" pid="9" name="_PreviousAdHocReviewCycleID">
    <vt:i4>593341975</vt:i4>
  </property>
</Properties>
</file>